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8fc539dc6b59dd/Desktop/Abiodun/2022 Reorder and MTEF/"/>
    </mc:Choice>
  </mc:AlternateContent>
  <xr:revisionPtr revIDLastSave="7" documentId="13_ncr:1_{26EA98E5-5AB7-43B4-9C25-30F19F0E2F4E}" xr6:coauthVersionLast="47" xr6:coauthVersionMax="47" xr10:uidLastSave="{F4C1C6AB-D9AF-41BE-9561-C7503A351DC7}"/>
  <bookViews>
    <workbookView xWindow="-108" yWindow="-108" windowWidth="23256" windowHeight="12456" firstSheet="9" activeTab="12" xr2:uid="{00000000-000D-0000-FFFF-FFFF00000000}"/>
  </bookViews>
  <sheets>
    <sheet name="Revenue Summary" sheetId="38" r:id="rId1"/>
    <sheet name="Revenue Grants" sheetId="37" r:id="rId2"/>
    <sheet name="Overall summary R&amp;C" sheetId="4" r:id="rId3"/>
    <sheet name="summary of recurent allocation" sheetId="2" r:id="rId4"/>
    <sheet name="Summary of capital allocation" sheetId="3" r:id="rId5"/>
    <sheet name="Pooled Fund Personnel" sheetId="30" r:id="rId6"/>
    <sheet name="Social Contributions" sheetId="19" r:id="rId7"/>
    <sheet name="Personnel Detail" sheetId="34" r:id="rId8"/>
    <sheet name="Pooled Fund OH Cost" sheetId="18" r:id="rId9"/>
    <sheet name="Details OH Cost" sheetId="8" r:id="rId10"/>
    <sheet name="Pooled Fund detail Capital" sheetId="7" r:id="rId11"/>
    <sheet name="Project detail capital" sheetId="5" r:id="rId12"/>
    <sheet name="First Schedule" sheetId="31" r:id="rId13"/>
    <sheet name="Second Schedule" sheetId="32" r:id="rId14"/>
  </sheets>
  <definedNames>
    <definedName name="_GoBack" localSheetId="11">'Project detail capital'!#REF!</definedName>
    <definedName name="_xlnm.Print_Titles" localSheetId="12">'First Schedule'!$6:$6</definedName>
    <definedName name="_xlnm.Print_Titles" localSheetId="7">'Personnel Detail'!$6:$6</definedName>
    <definedName name="_xlnm.Print_Titles" localSheetId="10">'Pooled Fund detail Capital'!$5:$5</definedName>
    <definedName name="_xlnm.Print_Titles" localSheetId="8">'Pooled Fund OH Cost'!$6:$6</definedName>
    <definedName name="_xlnm.Print_Titles" localSheetId="11">'Project detail capital'!$5:$5</definedName>
    <definedName name="_xlnm.Print_Titles" localSheetId="13">'Second Schedule'!$6:$6</definedName>
    <definedName name="_xlnm.Print_Titles" localSheetId="3">'summary of recurent allocation'!$5:$5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6" i="34" l="1"/>
  <c r="O77" i="34"/>
  <c r="O78" i="34"/>
  <c r="O79" i="34"/>
  <c r="E9" i="19"/>
  <c r="E13" i="19"/>
  <c r="E18" i="19"/>
  <c r="E19" i="19"/>
  <c r="R82" i="34"/>
  <c r="Q82" i="34" s="1"/>
  <c r="C6" i="2" s="1"/>
  <c r="F60" i="5"/>
  <c r="E60" i="5"/>
  <c r="D60" i="5"/>
  <c r="G59" i="5"/>
  <c r="G1143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F278" i="8"/>
  <c r="E39" i="31" s="1"/>
  <c r="E278" i="8"/>
  <c r="D278" i="8"/>
  <c r="G1209" i="8"/>
  <c r="G1210" i="8"/>
  <c r="G1211" i="8"/>
  <c r="G1212" i="8"/>
  <c r="G1213" i="8"/>
  <c r="G1214" i="8"/>
  <c r="G1215" i="8"/>
  <c r="G1216" i="8"/>
  <c r="G1217" i="8"/>
  <c r="G1218" i="8"/>
  <c r="G1219" i="8"/>
  <c r="G1220" i="8"/>
  <c r="G1221" i="8"/>
  <c r="G1208" i="8"/>
  <c r="F1222" i="8"/>
  <c r="E204" i="31" s="1"/>
  <c r="E1222" i="8"/>
  <c r="D1222" i="8"/>
  <c r="G278" i="8" l="1"/>
  <c r="E14" i="2"/>
  <c r="G1222" i="8"/>
  <c r="E41" i="2"/>
  <c r="F6" i="38" l="1"/>
  <c r="F7" i="38"/>
  <c r="F8" i="38"/>
  <c r="F9" i="38"/>
  <c r="F10" i="38"/>
  <c r="F11" i="38"/>
  <c r="F12" i="38"/>
  <c r="F13" i="38"/>
  <c r="F14" i="38"/>
  <c r="E15" i="38"/>
  <c r="F15" i="38"/>
  <c r="F16" i="38"/>
  <c r="F17" i="38"/>
  <c r="F18" i="38"/>
  <c r="E19" i="38"/>
  <c r="F19" i="38" s="1"/>
  <c r="F20" i="38"/>
  <c r="F21" i="38"/>
  <c r="E22" i="38"/>
  <c r="F22" i="38" l="1"/>
  <c r="E142" i="31"/>
  <c r="E32" i="37"/>
  <c r="D32" i="37"/>
  <c r="F31" i="37"/>
  <c r="F32" i="37" s="1"/>
  <c r="E29" i="37"/>
  <c r="D29" i="37"/>
  <c r="F28" i="37"/>
  <c r="F29" i="37" s="1"/>
  <c r="E26" i="37"/>
  <c r="D26" i="37"/>
  <c r="F25" i="37"/>
  <c r="F26" i="37" s="1"/>
  <c r="E23" i="37"/>
  <c r="D23" i="37"/>
  <c r="F22" i="37"/>
  <c r="F23" i="37" s="1"/>
  <c r="E20" i="37"/>
  <c r="D20" i="37"/>
  <c r="F19" i="37"/>
  <c r="F18" i="37"/>
  <c r="E16" i="37"/>
  <c r="D16" i="37"/>
  <c r="F15" i="37"/>
  <c r="F14" i="37"/>
  <c r="F13" i="37"/>
  <c r="E11" i="37"/>
  <c r="D11" i="37"/>
  <c r="F10" i="37"/>
  <c r="F11" i="37" s="1"/>
  <c r="E8" i="37"/>
  <c r="D8" i="37"/>
  <c r="F7" i="37"/>
  <c r="F6" i="37"/>
  <c r="F8" i="37" l="1"/>
  <c r="F20" i="37"/>
  <c r="E33" i="37"/>
  <c r="F16" i="37"/>
  <c r="D33" i="37"/>
  <c r="F33" i="37" l="1"/>
  <c r="D29" i="31"/>
  <c r="D95" i="31" l="1"/>
  <c r="D16" i="31"/>
  <c r="H38" i="18" l="1"/>
  <c r="F989" i="8"/>
  <c r="E34" i="2" s="1"/>
  <c r="I37" i="18"/>
  <c r="I38" i="18" s="1"/>
  <c r="G38" i="18"/>
  <c r="F38" i="18"/>
  <c r="E989" i="8"/>
  <c r="D989" i="8"/>
  <c r="G988" i="8"/>
  <c r="G987" i="8"/>
  <c r="G986" i="8"/>
  <c r="G985" i="8"/>
  <c r="G984" i="8"/>
  <c r="G983" i="8"/>
  <c r="G982" i="8"/>
  <c r="G981" i="8"/>
  <c r="G980" i="8"/>
  <c r="G979" i="8"/>
  <c r="G978" i="8"/>
  <c r="G977" i="8"/>
  <c r="G976" i="8"/>
  <c r="G975" i="8"/>
  <c r="G974" i="8"/>
  <c r="G973" i="8"/>
  <c r="G972" i="8"/>
  <c r="G971" i="8"/>
  <c r="G970" i="8"/>
  <c r="G968" i="8"/>
  <c r="G967" i="8"/>
  <c r="G966" i="8"/>
  <c r="G965" i="8"/>
  <c r="G964" i="8"/>
  <c r="G963" i="8"/>
  <c r="G962" i="8"/>
  <c r="G961" i="8"/>
  <c r="G960" i="8"/>
  <c r="G959" i="8"/>
  <c r="G958" i="8"/>
  <c r="G957" i="8"/>
  <c r="G956" i="8"/>
  <c r="G955" i="8"/>
  <c r="G954" i="8"/>
  <c r="G953" i="8"/>
  <c r="G952" i="8"/>
  <c r="G951" i="8"/>
  <c r="G950" i="8"/>
  <c r="G949" i="8"/>
  <c r="G948" i="8"/>
  <c r="G947" i="8"/>
  <c r="G989" i="8" l="1"/>
  <c r="Q81" i="34" l="1"/>
  <c r="Q80" i="34"/>
  <c r="Q27" i="34"/>
  <c r="M75" i="34"/>
  <c r="O75" i="34" s="1"/>
  <c r="L7" i="34" l="1"/>
  <c r="L83" i="34" s="1"/>
  <c r="M26" i="34"/>
  <c r="O26" i="34" s="1"/>
  <c r="M61" i="34" l="1"/>
  <c r="O61" i="34" s="1"/>
  <c r="M70" i="34"/>
  <c r="O70" i="34" s="1"/>
  <c r="M68" i="34"/>
  <c r="O68" i="34" s="1"/>
  <c r="N79" i="34"/>
  <c r="P79" i="34" s="1"/>
  <c r="M31" i="34"/>
  <c r="O31" i="34" s="1"/>
  <c r="M30" i="34"/>
  <c r="O30" i="34" s="1"/>
  <c r="M67" i="34"/>
  <c r="O67" i="34" s="1"/>
  <c r="R79" i="34" l="1"/>
  <c r="N78" i="34"/>
  <c r="N77" i="34"/>
  <c r="N76" i="34"/>
  <c r="M8" i="34"/>
  <c r="O8" i="34" s="1"/>
  <c r="M9" i="34"/>
  <c r="O9" i="34" s="1"/>
  <c r="M10" i="34"/>
  <c r="O10" i="34" s="1"/>
  <c r="M11" i="34"/>
  <c r="O11" i="34" s="1"/>
  <c r="M12" i="34"/>
  <c r="O12" i="34" s="1"/>
  <c r="M13" i="34"/>
  <c r="O13" i="34" s="1"/>
  <c r="M14" i="34"/>
  <c r="O14" i="34" s="1"/>
  <c r="M15" i="34"/>
  <c r="O15" i="34" s="1"/>
  <c r="M16" i="34"/>
  <c r="O16" i="34" s="1"/>
  <c r="M17" i="34"/>
  <c r="O17" i="34" s="1"/>
  <c r="M18" i="34"/>
  <c r="O18" i="34" s="1"/>
  <c r="M19" i="34"/>
  <c r="O19" i="34" s="1"/>
  <c r="M20" i="34"/>
  <c r="O20" i="34" s="1"/>
  <c r="M21" i="34"/>
  <c r="O21" i="34" s="1"/>
  <c r="M22" i="34"/>
  <c r="O22" i="34" s="1"/>
  <c r="M23" i="34"/>
  <c r="O23" i="34" s="1"/>
  <c r="M24" i="34"/>
  <c r="O24" i="34" s="1"/>
  <c r="M25" i="34"/>
  <c r="O25" i="34" s="1"/>
  <c r="M28" i="34"/>
  <c r="O28" i="34" s="1"/>
  <c r="M29" i="34"/>
  <c r="O29" i="34" s="1"/>
  <c r="M32" i="34"/>
  <c r="O32" i="34" s="1"/>
  <c r="M33" i="34"/>
  <c r="O33" i="34" s="1"/>
  <c r="M34" i="34"/>
  <c r="O34" i="34" s="1"/>
  <c r="M35" i="34"/>
  <c r="O35" i="34" s="1"/>
  <c r="M36" i="34"/>
  <c r="O36" i="34" s="1"/>
  <c r="M37" i="34"/>
  <c r="O37" i="34" s="1"/>
  <c r="M38" i="34"/>
  <c r="O38" i="34" s="1"/>
  <c r="M39" i="34"/>
  <c r="O39" i="34" s="1"/>
  <c r="M40" i="34"/>
  <c r="O40" i="34" s="1"/>
  <c r="M41" i="34"/>
  <c r="O41" i="34" s="1"/>
  <c r="M42" i="34"/>
  <c r="O42" i="34" s="1"/>
  <c r="M43" i="34"/>
  <c r="O43" i="34" s="1"/>
  <c r="M44" i="34"/>
  <c r="O44" i="34" s="1"/>
  <c r="M45" i="34"/>
  <c r="O45" i="34" s="1"/>
  <c r="M46" i="34"/>
  <c r="O46" i="34" s="1"/>
  <c r="M47" i="34"/>
  <c r="O47" i="34" s="1"/>
  <c r="M48" i="34"/>
  <c r="O48" i="34" s="1"/>
  <c r="M49" i="34"/>
  <c r="O49" i="34" s="1"/>
  <c r="M50" i="34"/>
  <c r="O50" i="34" s="1"/>
  <c r="M51" i="34"/>
  <c r="O51" i="34" s="1"/>
  <c r="M52" i="34"/>
  <c r="O52" i="34" s="1"/>
  <c r="M53" i="34"/>
  <c r="O53" i="34" s="1"/>
  <c r="M54" i="34"/>
  <c r="O54" i="34" s="1"/>
  <c r="M55" i="34"/>
  <c r="O55" i="34" s="1"/>
  <c r="M56" i="34"/>
  <c r="O56" i="34" s="1"/>
  <c r="M57" i="34"/>
  <c r="O57" i="34" s="1"/>
  <c r="M58" i="34"/>
  <c r="O58" i="34" s="1"/>
  <c r="M59" i="34"/>
  <c r="O59" i="34" s="1"/>
  <c r="M60" i="34"/>
  <c r="O60" i="34" s="1"/>
  <c r="N61" i="34"/>
  <c r="P61" i="34" s="1"/>
  <c r="M62" i="34"/>
  <c r="O62" i="34" s="1"/>
  <c r="M63" i="34"/>
  <c r="O63" i="34" s="1"/>
  <c r="M64" i="34"/>
  <c r="O64" i="34" s="1"/>
  <c r="M65" i="34"/>
  <c r="O65" i="34" s="1"/>
  <c r="M66" i="34"/>
  <c r="O66" i="34" s="1"/>
  <c r="N68" i="34"/>
  <c r="P68" i="34" s="1"/>
  <c r="M69" i="34"/>
  <c r="O69" i="34" s="1"/>
  <c r="M71" i="34"/>
  <c r="O71" i="34" s="1"/>
  <c r="M72" i="34"/>
  <c r="O72" i="34" s="1"/>
  <c r="M73" i="34"/>
  <c r="O73" i="34" s="1"/>
  <c r="M74" i="34"/>
  <c r="O74" i="34" s="1"/>
  <c r="N75" i="34"/>
  <c r="P75" i="34" s="1"/>
  <c r="M7" i="34"/>
  <c r="O7" i="34" s="1"/>
  <c r="O83" i="34" l="1"/>
  <c r="R76" i="34"/>
  <c r="Q76" i="34" s="1"/>
  <c r="P76" i="34"/>
  <c r="R77" i="34"/>
  <c r="P77" i="34"/>
  <c r="R78" i="34"/>
  <c r="P78" i="34"/>
  <c r="N23" i="34"/>
  <c r="N7" i="34"/>
  <c r="P7" i="34" s="1"/>
  <c r="N65" i="34"/>
  <c r="P65" i="34" s="1"/>
  <c r="N41" i="34"/>
  <c r="P41" i="34" s="1"/>
  <c r="N64" i="34"/>
  <c r="P64" i="34" s="1"/>
  <c r="N56" i="34"/>
  <c r="N48" i="34"/>
  <c r="P48" i="34" s="1"/>
  <c r="N40" i="34"/>
  <c r="P40" i="34" s="1"/>
  <c r="N32" i="34"/>
  <c r="P32" i="34" s="1"/>
  <c r="N20" i="34"/>
  <c r="P20" i="34" s="1"/>
  <c r="N12" i="34"/>
  <c r="P12" i="34" s="1"/>
  <c r="N15" i="34"/>
  <c r="P15" i="34" s="1"/>
  <c r="N29" i="34"/>
  <c r="N19" i="34"/>
  <c r="N11" i="34"/>
  <c r="P11" i="34" s="1"/>
  <c r="N33" i="34"/>
  <c r="P33" i="34" s="1"/>
  <c r="N72" i="34"/>
  <c r="P72" i="34" s="1"/>
  <c r="N28" i="34"/>
  <c r="P28" i="34" s="1"/>
  <c r="N49" i="34"/>
  <c r="P49" i="34" s="1"/>
  <c r="N53" i="34"/>
  <c r="P53" i="34" s="1"/>
  <c r="N57" i="34"/>
  <c r="N45" i="34"/>
  <c r="P45" i="34" s="1"/>
  <c r="N69" i="34"/>
  <c r="N60" i="34"/>
  <c r="N52" i="34"/>
  <c r="P52" i="34" s="1"/>
  <c r="N44" i="34"/>
  <c r="P44" i="34" s="1"/>
  <c r="N36" i="34"/>
  <c r="P36" i="34" s="1"/>
  <c r="N24" i="34"/>
  <c r="P24" i="34" s="1"/>
  <c r="N16" i="34"/>
  <c r="N8" i="34"/>
  <c r="D154" i="31"/>
  <c r="Q77" i="34"/>
  <c r="D157" i="31"/>
  <c r="Q78" i="34"/>
  <c r="D65" i="31"/>
  <c r="Q79" i="34"/>
  <c r="N37" i="34"/>
  <c r="M83" i="34"/>
  <c r="N66" i="34"/>
  <c r="P66" i="34" s="1"/>
  <c r="N58" i="34"/>
  <c r="P58" i="34" s="1"/>
  <c r="N46" i="34"/>
  <c r="P46" i="34" s="1"/>
  <c r="R7" i="34"/>
  <c r="R68" i="34"/>
  <c r="N13" i="34"/>
  <c r="P13" i="34" s="1"/>
  <c r="N30" i="34"/>
  <c r="P30" i="34" s="1"/>
  <c r="N70" i="34"/>
  <c r="P70" i="34" s="1"/>
  <c r="N54" i="34"/>
  <c r="P54" i="34" s="1"/>
  <c r="N42" i="34"/>
  <c r="P42" i="34" s="1"/>
  <c r="N17" i="34"/>
  <c r="P17" i="34" s="1"/>
  <c r="N34" i="34"/>
  <c r="P34" i="34" s="1"/>
  <c r="R61" i="34"/>
  <c r="R45" i="34"/>
  <c r="R20" i="34"/>
  <c r="R12" i="34"/>
  <c r="N21" i="34"/>
  <c r="P21" i="34" s="1"/>
  <c r="N74" i="34"/>
  <c r="P74" i="34" s="1"/>
  <c r="N62" i="34"/>
  <c r="P62" i="34" s="1"/>
  <c r="N50" i="34"/>
  <c r="P50" i="34" s="1"/>
  <c r="N38" i="34"/>
  <c r="P38" i="34" s="1"/>
  <c r="R64" i="34"/>
  <c r="R48" i="34"/>
  <c r="R36" i="34"/>
  <c r="R32" i="34"/>
  <c r="R11" i="34"/>
  <c r="N9" i="34"/>
  <c r="P9" i="34" s="1"/>
  <c r="N25" i="34"/>
  <c r="P25" i="34" s="1"/>
  <c r="N10" i="34"/>
  <c r="P10" i="34" s="1"/>
  <c r="N14" i="34"/>
  <c r="P14" i="34" s="1"/>
  <c r="N18" i="34"/>
  <c r="P18" i="34" s="1"/>
  <c r="N22" i="34"/>
  <c r="P22" i="34" s="1"/>
  <c r="N26" i="34"/>
  <c r="P26" i="34" s="1"/>
  <c r="N31" i="34"/>
  <c r="P31" i="34" s="1"/>
  <c r="N35" i="34"/>
  <c r="P35" i="34" s="1"/>
  <c r="N39" i="34"/>
  <c r="P39" i="34" s="1"/>
  <c r="N43" i="34"/>
  <c r="P43" i="34" s="1"/>
  <c r="N47" i="34"/>
  <c r="P47" i="34" s="1"/>
  <c r="N51" i="34"/>
  <c r="P51" i="34" s="1"/>
  <c r="N55" i="34"/>
  <c r="P55" i="34" s="1"/>
  <c r="N59" i="34"/>
  <c r="P59" i="34" s="1"/>
  <c r="N63" i="34"/>
  <c r="P63" i="34" s="1"/>
  <c r="N67" i="34"/>
  <c r="P67" i="34" s="1"/>
  <c r="N71" i="34"/>
  <c r="P71" i="34" s="1"/>
  <c r="R75" i="34"/>
  <c r="N73" i="34"/>
  <c r="P73" i="34" s="1"/>
  <c r="R49" i="34" l="1"/>
  <c r="D115" i="31" s="1"/>
  <c r="D155" i="31"/>
  <c r="D153" i="31" s="1"/>
  <c r="R24" i="34"/>
  <c r="Q24" i="34" s="1"/>
  <c r="R28" i="34"/>
  <c r="R65" i="34"/>
  <c r="R41" i="34"/>
  <c r="D104" i="31" s="1"/>
  <c r="R23" i="34"/>
  <c r="D62" i="31" s="1"/>
  <c r="P23" i="34"/>
  <c r="R37" i="34"/>
  <c r="P37" i="34"/>
  <c r="R60" i="34"/>
  <c r="D25" i="31" s="1"/>
  <c r="P60" i="34"/>
  <c r="R15" i="34"/>
  <c r="D229" i="31" s="1"/>
  <c r="R69" i="34"/>
  <c r="Q69" i="34" s="1"/>
  <c r="P69" i="34"/>
  <c r="R8" i="34"/>
  <c r="P8" i="34"/>
  <c r="R19" i="34"/>
  <c r="D180" i="31" s="1"/>
  <c r="P19" i="34"/>
  <c r="R56" i="34"/>
  <c r="D21" i="31" s="1"/>
  <c r="P56" i="34"/>
  <c r="R53" i="34"/>
  <c r="D47" i="31" s="1"/>
  <c r="R16" i="34"/>
  <c r="Q16" i="34" s="1"/>
  <c r="P16" i="34"/>
  <c r="R57" i="34"/>
  <c r="Q57" i="34" s="1"/>
  <c r="P57" i="34"/>
  <c r="R29" i="34"/>
  <c r="D213" i="31" s="1"/>
  <c r="P29" i="34"/>
  <c r="R44" i="34"/>
  <c r="Q44" i="34" s="1"/>
  <c r="R33" i="34"/>
  <c r="R40" i="34"/>
  <c r="D69" i="31" s="1"/>
  <c r="R52" i="34"/>
  <c r="Q52" i="34" s="1"/>
  <c r="R72" i="34"/>
  <c r="Q72" i="34" s="1"/>
  <c r="D145" i="31"/>
  <c r="Q37" i="34"/>
  <c r="D18" i="31"/>
  <c r="Q45" i="34"/>
  <c r="D46" i="31"/>
  <c r="Q33" i="34"/>
  <c r="D36" i="31"/>
  <c r="Q36" i="34"/>
  <c r="Q53" i="34"/>
  <c r="D111" i="31"/>
  <c r="D203" i="31"/>
  <c r="Q68" i="34"/>
  <c r="D73" i="31"/>
  <c r="Q20" i="34"/>
  <c r="D206" i="31"/>
  <c r="Q28" i="34"/>
  <c r="D20" i="31"/>
  <c r="Q11" i="34"/>
  <c r="D226" i="31"/>
  <c r="Q61" i="34"/>
  <c r="Q56" i="34"/>
  <c r="Q41" i="34"/>
  <c r="D19" i="31"/>
  <c r="D85" i="31"/>
  <c r="Q8" i="34"/>
  <c r="Q60" i="34"/>
  <c r="D171" i="31"/>
  <c r="Q75" i="34"/>
  <c r="D232" i="31"/>
  <c r="Q12" i="34"/>
  <c r="Q15" i="34"/>
  <c r="D147" i="31"/>
  <c r="Q32" i="34"/>
  <c r="D143" i="31"/>
  <c r="Q48" i="34"/>
  <c r="D210" i="31"/>
  <c r="Q64" i="34"/>
  <c r="Q49" i="34"/>
  <c r="D66" i="31"/>
  <c r="Q65" i="34"/>
  <c r="D79" i="31"/>
  <c r="Q7" i="34"/>
  <c r="N83" i="34"/>
  <c r="R59" i="34"/>
  <c r="R26" i="34"/>
  <c r="R17" i="34"/>
  <c r="R63" i="34"/>
  <c r="R47" i="34"/>
  <c r="Q47" i="34" s="1"/>
  <c r="R31" i="34"/>
  <c r="R14" i="34"/>
  <c r="R9" i="34"/>
  <c r="R38" i="34"/>
  <c r="R62" i="34"/>
  <c r="R34" i="34"/>
  <c r="R54" i="34"/>
  <c r="R30" i="34"/>
  <c r="R58" i="34"/>
  <c r="Q58" i="34" s="1"/>
  <c r="R43" i="34"/>
  <c r="R10" i="34"/>
  <c r="Q10" i="34" s="1"/>
  <c r="R74" i="34"/>
  <c r="R71" i="34"/>
  <c r="R55" i="34"/>
  <c r="R39" i="34"/>
  <c r="R22" i="34"/>
  <c r="R50" i="34"/>
  <c r="R42" i="34"/>
  <c r="R70" i="34"/>
  <c r="R46" i="34"/>
  <c r="R66" i="34"/>
  <c r="R13" i="34"/>
  <c r="R67" i="34"/>
  <c r="R51" i="34"/>
  <c r="R35" i="34"/>
  <c r="R18" i="34"/>
  <c r="R25" i="34"/>
  <c r="R21" i="34"/>
  <c r="R73" i="34"/>
  <c r="Q19" i="34" l="1"/>
  <c r="D141" i="31"/>
  <c r="Q29" i="34"/>
  <c r="P83" i="34"/>
  <c r="D128" i="31"/>
  <c r="D127" i="31" s="1"/>
  <c r="Q40" i="34"/>
  <c r="Q23" i="34"/>
  <c r="D68" i="31"/>
  <c r="Q62" i="34"/>
  <c r="D40" i="31"/>
  <c r="Q31" i="34"/>
  <c r="D10" i="31"/>
  <c r="Q26" i="34"/>
  <c r="D37" i="31"/>
  <c r="Q35" i="34"/>
  <c r="D123" i="31"/>
  <c r="D122" i="31" s="1"/>
  <c r="Q74" i="34"/>
  <c r="D174" i="31"/>
  <c r="D173" i="31" s="1"/>
  <c r="Q73" i="34"/>
  <c r="D222" i="31"/>
  <c r="Q22" i="34"/>
  <c r="D39" i="31"/>
  <c r="Q30" i="34"/>
  <c r="D163" i="31"/>
  <c r="Q38" i="34"/>
  <c r="D204" i="31"/>
  <c r="Q59" i="34"/>
  <c r="D224" i="31"/>
  <c r="Q70" i="34"/>
  <c r="D172" i="31"/>
  <c r="Q50" i="34"/>
  <c r="D209" i="31"/>
  <c r="Q46" i="34"/>
  <c r="D35" i="31"/>
  <c r="Q25" i="34"/>
  <c r="D193" i="31"/>
  <c r="Q67" i="34"/>
  <c r="D188" i="31"/>
  <c r="Q39" i="34"/>
  <c r="D137" i="31"/>
  <c r="D50" i="31"/>
  <c r="Q54" i="34"/>
  <c r="D83" i="31"/>
  <c r="Q9" i="34"/>
  <c r="D108" i="31"/>
  <c r="Q63" i="34"/>
  <c r="D185" i="31"/>
  <c r="Q66" i="34"/>
  <c r="D221" i="31"/>
  <c r="Q21" i="34"/>
  <c r="D140" i="31"/>
  <c r="D138" i="31" s="1"/>
  <c r="Q71" i="34"/>
  <c r="Q51" i="34"/>
  <c r="D118" i="31"/>
  <c r="Q42" i="34"/>
  <c r="D162" i="31"/>
  <c r="D161" i="31" s="1"/>
  <c r="Q34" i="34"/>
  <c r="D11" i="31"/>
  <c r="Q17" i="34"/>
  <c r="D130" i="31"/>
  <c r="Q18" i="34"/>
  <c r="D71" i="31"/>
  <c r="Q13" i="34"/>
  <c r="D48" i="31"/>
  <c r="Q55" i="34"/>
  <c r="D97" i="31"/>
  <c r="Q43" i="34"/>
  <c r="D102" i="31"/>
  <c r="Q14" i="34"/>
  <c r="R83" i="34"/>
  <c r="D179" i="31" l="1"/>
  <c r="D129" i="31"/>
  <c r="Q83" i="34"/>
  <c r="F71" i="31"/>
  <c r="D70" i="31"/>
  <c r="E232" i="32" l="1"/>
  <c r="E230" i="32"/>
  <c r="E229" i="32"/>
  <c r="E227" i="32"/>
  <c r="E224" i="32"/>
  <c r="E207" i="32"/>
  <c r="E208" i="32"/>
  <c r="E210" i="32"/>
  <c r="E213" i="32"/>
  <c r="E214" i="32"/>
  <c r="E215" i="32"/>
  <c r="E216" i="32"/>
  <c r="E217" i="32"/>
  <c r="E218" i="32"/>
  <c r="E219" i="32"/>
  <c r="E183" i="32"/>
  <c r="E184" i="32"/>
  <c r="E186" i="32"/>
  <c r="E187" i="32"/>
  <c r="E188" i="32"/>
  <c r="E189" i="32"/>
  <c r="E192" i="32"/>
  <c r="E193" i="32"/>
  <c r="E194" i="32"/>
  <c r="E195" i="32"/>
  <c r="E196" i="32"/>
  <c r="E197" i="32"/>
  <c r="E198" i="32"/>
  <c r="E199" i="32"/>
  <c r="E200" i="32"/>
  <c r="E201" i="32"/>
  <c r="E202" i="32"/>
  <c r="E203" i="32"/>
  <c r="E204" i="32"/>
  <c r="E182" i="32"/>
  <c r="E179" i="32"/>
  <c r="E177" i="32"/>
  <c r="E176" i="32"/>
  <c r="E175" i="32"/>
  <c r="E173" i="32"/>
  <c r="E169" i="32"/>
  <c r="E168" i="32"/>
  <c r="E165" i="32"/>
  <c r="E164" i="32"/>
  <c r="E156" i="32"/>
  <c r="E157" i="32"/>
  <c r="E158" i="32"/>
  <c r="E159" i="32"/>
  <c r="E160" i="32"/>
  <c r="E161" i="32"/>
  <c r="E152" i="32"/>
  <c r="E149" i="32"/>
  <c r="E81" i="32"/>
  <c r="E82" i="32"/>
  <c r="E83" i="32"/>
  <c r="E85" i="32"/>
  <c r="E86" i="32"/>
  <c r="E87" i="32"/>
  <c r="E77" i="32"/>
  <c r="E75" i="32"/>
  <c r="E74" i="32"/>
  <c r="E72" i="32"/>
  <c r="E93" i="32"/>
  <c r="E94" i="32"/>
  <c r="E95" i="32"/>
  <c r="E96" i="32"/>
  <c r="E97" i="32"/>
  <c r="E98" i="32"/>
  <c r="E99" i="32"/>
  <c r="E100" i="32"/>
  <c r="E101" i="32"/>
  <c r="E103" i="32"/>
  <c r="E104" i="32"/>
  <c r="E105" i="32"/>
  <c r="E110" i="32"/>
  <c r="E112" i="32"/>
  <c r="E113" i="32"/>
  <c r="E117" i="32"/>
  <c r="E119" i="32"/>
  <c r="E120" i="32"/>
  <c r="E122" i="32"/>
  <c r="E125" i="32"/>
  <c r="E126" i="32"/>
  <c r="E129" i="32"/>
  <c r="E132" i="32"/>
  <c r="E133" i="32"/>
  <c r="E134" i="32"/>
  <c r="E135" i="32"/>
  <c r="E136" i="32"/>
  <c r="E137" i="32"/>
  <c r="E140" i="32"/>
  <c r="E142" i="32"/>
  <c r="E144" i="32"/>
  <c r="E70" i="32"/>
  <c r="E69" i="32"/>
  <c r="E67" i="32"/>
  <c r="E66" i="32"/>
  <c r="E65" i="32"/>
  <c r="E64" i="32"/>
  <c r="E63" i="32"/>
  <c r="E62" i="32"/>
  <c r="E60" i="32"/>
  <c r="E59" i="32"/>
  <c r="E58" i="32"/>
  <c r="E56" i="32"/>
  <c r="E54" i="32"/>
  <c r="E53" i="32"/>
  <c r="E48" i="32"/>
  <c r="E49" i="32"/>
  <c r="E50" i="32"/>
  <c r="E51" i="32"/>
  <c r="E47" i="32"/>
  <c r="E41" i="32"/>
  <c r="E42" i="32"/>
  <c r="E43" i="32"/>
  <c r="E44" i="32"/>
  <c r="E45" i="32"/>
  <c r="E40" i="32"/>
  <c r="D128" i="32"/>
  <c r="E128" i="32" s="1"/>
  <c r="D73" i="32"/>
  <c r="E73" i="32" s="1"/>
  <c r="E38" i="32"/>
  <c r="E37" i="32"/>
  <c r="E35" i="32"/>
  <c r="E12" i="32"/>
  <c r="E13" i="32"/>
  <c r="E14" i="32"/>
  <c r="E15" i="32"/>
  <c r="E17" i="32"/>
  <c r="E18" i="32"/>
  <c r="E20" i="32"/>
  <c r="E21" i="32"/>
  <c r="E22" i="32"/>
  <c r="E23" i="32"/>
  <c r="E24" i="32"/>
  <c r="E25" i="32"/>
  <c r="E26" i="32"/>
  <c r="E27" i="32"/>
  <c r="E28" i="32"/>
  <c r="E29" i="32"/>
  <c r="E30" i="32"/>
  <c r="E32" i="32"/>
  <c r="D231" i="32"/>
  <c r="E231" i="32" s="1"/>
  <c r="D228" i="32"/>
  <c r="E228" i="32" s="1"/>
  <c r="D167" i="32"/>
  <c r="E167" i="32" s="1"/>
  <c r="D150" i="32"/>
  <c r="E150" i="32" s="1"/>
  <c r="D143" i="32"/>
  <c r="E143" i="32" s="1"/>
  <c r="D118" i="32"/>
  <c r="E118" i="32" s="1"/>
  <c r="D111" i="32"/>
  <c r="E111" i="32" s="1"/>
  <c r="D76" i="32"/>
  <c r="E76" i="32" s="1"/>
  <c r="D71" i="32"/>
  <c r="E71" i="32" s="1"/>
  <c r="D68" i="32"/>
  <c r="E68" i="32" s="1"/>
  <c r="D57" i="32"/>
  <c r="E57" i="32" s="1"/>
  <c r="D46" i="32"/>
  <c r="E46" i="32" s="1"/>
  <c r="D39" i="32"/>
  <c r="E39" i="32" s="1"/>
  <c r="D166" i="32" l="1"/>
  <c r="E166" i="32" s="1"/>
  <c r="F230" i="31" l="1"/>
  <c r="F229" i="31"/>
  <c r="F227" i="31"/>
  <c r="F226" i="31"/>
  <c r="F222" i="31"/>
  <c r="F219" i="31"/>
  <c r="F218" i="31"/>
  <c r="F217" i="31"/>
  <c r="F215" i="31"/>
  <c r="F214" i="31"/>
  <c r="F213" i="31"/>
  <c r="F212" i="31"/>
  <c r="F209" i="31"/>
  <c r="F208" i="31"/>
  <c r="F207" i="31"/>
  <c r="F204" i="31"/>
  <c r="F203" i="31"/>
  <c r="F202" i="31"/>
  <c r="F201" i="31"/>
  <c r="F200" i="31"/>
  <c r="F199" i="31"/>
  <c r="F198" i="31"/>
  <c r="F197" i="31"/>
  <c r="F196" i="31"/>
  <c r="F195" i="31"/>
  <c r="F194" i="31"/>
  <c r="F193" i="31"/>
  <c r="F192" i="31"/>
  <c r="F191" i="31"/>
  <c r="F190" i="31"/>
  <c r="F189" i="31"/>
  <c r="F188" i="31"/>
  <c r="F187" i="31"/>
  <c r="F186" i="31"/>
  <c r="F185" i="31"/>
  <c r="F183" i="31"/>
  <c r="F182" i="31"/>
  <c r="F178" i="31"/>
  <c r="F176" i="31"/>
  <c r="F175" i="31"/>
  <c r="F172" i="31"/>
  <c r="F168" i="31"/>
  <c r="F164" i="31"/>
  <c r="F163" i="31"/>
  <c r="F162" i="31"/>
  <c r="F160" i="31"/>
  <c r="F159" i="31"/>
  <c r="F158" i="31"/>
  <c r="F157" i="31"/>
  <c r="F156" i="31"/>
  <c r="F155" i="31"/>
  <c r="F154" i="31"/>
  <c r="F148" i="31"/>
  <c r="F145" i="31"/>
  <c r="F143" i="31"/>
  <c r="F141" i="31"/>
  <c r="F140" i="31"/>
  <c r="F137" i="31"/>
  <c r="F136" i="31"/>
  <c r="F135" i="31"/>
  <c r="F134" i="31"/>
  <c r="F133" i="31"/>
  <c r="F132" i="31"/>
  <c r="F131" i="31"/>
  <c r="F128" i="31"/>
  <c r="F125" i="31"/>
  <c r="F124" i="31"/>
  <c r="F123" i="31"/>
  <c r="F120" i="31"/>
  <c r="F119" i="31"/>
  <c r="F116" i="31"/>
  <c r="F114" i="31"/>
  <c r="F112" i="31"/>
  <c r="F109" i="31"/>
  <c r="F106" i="31"/>
  <c r="F105" i="31"/>
  <c r="F103" i="31"/>
  <c r="F100" i="31"/>
  <c r="F99" i="31"/>
  <c r="F98" i="31"/>
  <c r="F94" i="31"/>
  <c r="F93" i="31"/>
  <c r="F92" i="31"/>
  <c r="F88" i="31"/>
  <c r="F87" i="31"/>
  <c r="F86" i="31"/>
  <c r="F84" i="31"/>
  <c r="F83" i="31"/>
  <c r="F82" i="31"/>
  <c r="F81" i="31"/>
  <c r="F80" i="31"/>
  <c r="F79" i="31"/>
  <c r="F76" i="31"/>
  <c r="F74" i="31"/>
  <c r="F73" i="31"/>
  <c r="F68" i="31"/>
  <c r="F65" i="31"/>
  <c r="F64" i="31"/>
  <c r="F63" i="31"/>
  <c r="F62" i="31"/>
  <c r="F59" i="31"/>
  <c r="F58" i="31"/>
  <c r="F57" i="31"/>
  <c r="F55" i="31"/>
  <c r="F53" i="31"/>
  <c r="F52" i="31"/>
  <c r="F50" i="31"/>
  <c r="F47" i="31"/>
  <c r="F46" i="31"/>
  <c r="F44" i="31"/>
  <c r="F43" i="31"/>
  <c r="F42" i="31"/>
  <c r="F41" i="31"/>
  <c r="F40" i="31"/>
  <c r="F39" i="31"/>
  <c r="F37" i="31"/>
  <c r="F36" i="31"/>
  <c r="F34" i="31"/>
  <c r="E14" i="30"/>
  <c r="D14" i="30"/>
  <c r="D15" i="30" s="1"/>
  <c r="F13" i="30"/>
  <c r="F14" i="30" s="1"/>
  <c r="E10" i="30"/>
  <c r="E15" i="30" s="1"/>
  <c r="D10" i="30"/>
  <c r="D231" i="31" l="1"/>
  <c r="E228" i="31"/>
  <c r="D228" i="31"/>
  <c r="F228" i="31"/>
  <c r="E225" i="31"/>
  <c r="D225" i="31"/>
  <c r="F225" i="31"/>
  <c r="D220" i="31"/>
  <c r="D205" i="31"/>
  <c r="D170" i="31" l="1"/>
  <c r="D166" i="31"/>
  <c r="D165" i="31" s="1"/>
  <c r="E161" i="31"/>
  <c r="F161" i="31"/>
  <c r="E153" i="31"/>
  <c r="E152" i="31" s="1"/>
  <c r="F153" i="31"/>
  <c r="E149" i="31"/>
  <c r="D149" i="31"/>
  <c r="F149" i="31"/>
  <c r="D146" i="31"/>
  <c r="E144" i="31"/>
  <c r="D144" i="31"/>
  <c r="F144" i="31"/>
  <c r="D142" i="31"/>
  <c r="F142" i="31"/>
  <c r="E127" i="31"/>
  <c r="F127" i="31"/>
  <c r="D117" i="31"/>
  <c r="D113" i="31"/>
  <c r="D110" i="31"/>
  <c r="D107" i="31"/>
  <c r="D101" i="31"/>
  <c r="D78" i="31"/>
  <c r="E75" i="31"/>
  <c r="D75" i="31"/>
  <c r="E72" i="31"/>
  <c r="D72" i="31"/>
  <c r="E70" i="31"/>
  <c r="D67" i="31"/>
  <c r="D56" i="31"/>
  <c r="D51" i="31"/>
  <c r="D45" i="31"/>
  <c r="E38" i="31"/>
  <c r="D38" i="31"/>
  <c r="D33" i="31"/>
  <c r="F75" i="31"/>
  <c r="F72" i="31"/>
  <c r="F70" i="31"/>
  <c r="F38" i="31"/>
  <c r="F24" i="31"/>
  <c r="F12" i="31"/>
  <c r="F13" i="31"/>
  <c r="F14" i="31"/>
  <c r="F15" i="31"/>
  <c r="F17" i="31"/>
  <c r="F18" i="31"/>
  <c r="F19" i="31"/>
  <c r="F21" i="31"/>
  <c r="F25" i="31"/>
  <c r="F27" i="31"/>
  <c r="F28" i="31"/>
  <c r="F29" i="31"/>
  <c r="F30" i="31"/>
  <c r="F32" i="31"/>
  <c r="D152" i="31" l="1"/>
  <c r="D169" i="31"/>
  <c r="F152" i="31"/>
  <c r="F1164" i="8" l="1"/>
  <c r="E1164" i="8"/>
  <c r="G1163" i="8"/>
  <c r="G1162" i="8"/>
  <c r="G1161" i="8"/>
  <c r="G1160" i="8"/>
  <c r="G1159" i="8"/>
  <c r="G1158" i="8"/>
  <c r="G1157" i="8"/>
  <c r="G1156" i="8"/>
  <c r="G1155" i="8"/>
  <c r="G1154" i="8"/>
  <c r="G1153" i="8"/>
  <c r="G1152" i="8"/>
  <c r="G1151" i="8"/>
  <c r="G1150" i="8"/>
  <c r="G1149" i="8"/>
  <c r="G1148" i="8"/>
  <c r="G1147" i="8"/>
  <c r="G1146" i="8"/>
  <c r="G1145" i="8"/>
  <c r="G1144" i="8"/>
  <c r="G1142" i="8"/>
  <c r="D1164" i="8"/>
  <c r="G1079" i="8"/>
  <c r="G1080" i="8"/>
  <c r="G1081" i="8"/>
  <c r="G1082" i="8"/>
  <c r="G1083" i="8"/>
  <c r="G1084" i="8"/>
  <c r="G1085" i="8"/>
  <c r="G1086" i="8"/>
  <c r="G1087" i="8"/>
  <c r="G1088" i="8"/>
  <c r="G1089" i="8"/>
  <c r="G1090" i="8"/>
  <c r="G1091" i="8"/>
  <c r="G1092" i="8"/>
  <c r="G1093" i="8"/>
  <c r="G1094" i="8"/>
  <c r="G1095" i="8"/>
  <c r="G1096" i="8"/>
  <c r="G1097" i="8"/>
  <c r="G1078" i="8"/>
  <c r="D1098" i="8"/>
  <c r="F1098" i="8"/>
  <c r="E1098" i="8"/>
  <c r="E39" i="2" l="1"/>
  <c r="E180" i="31"/>
  <c r="E37" i="2"/>
  <c r="E174" i="31"/>
  <c r="G1164" i="8"/>
  <c r="G1098" i="8"/>
  <c r="F174" i="31" l="1"/>
  <c r="F180" i="31"/>
  <c r="C7" i="4" l="1"/>
  <c r="F9" i="30"/>
  <c r="F8" i="30"/>
  <c r="D90" i="31"/>
  <c r="D18" i="19"/>
  <c r="I31" i="7"/>
  <c r="F10" i="30" l="1"/>
  <c r="F15" i="30" s="1"/>
  <c r="G35" i="18"/>
  <c r="F35" i="18"/>
  <c r="H35" i="18"/>
  <c r="H23" i="18"/>
  <c r="G23" i="18"/>
  <c r="F23" i="18"/>
  <c r="F48" i="5"/>
  <c r="C23" i="2"/>
  <c r="F17" i="19"/>
  <c r="F16" i="19"/>
  <c r="E557" i="8"/>
  <c r="F1012" i="8"/>
  <c r="E1012" i="8"/>
  <c r="D1012" i="8"/>
  <c r="G1011" i="8"/>
  <c r="G1012" i="8" s="1"/>
  <c r="H107" i="7"/>
  <c r="D222" i="32" s="1"/>
  <c r="E222" i="32" s="1"/>
  <c r="G107" i="7"/>
  <c r="F107" i="7"/>
  <c r="I106" i="7"/>
  <c r="I105" i="7"/>
  <c r="H103" i="7"/>
  <c r="D141" i="32" s="1"/>
  <c r="G103" i="7"/>
  <c r="F103" i="7"/>
  <c r="I102" i="7"/>
  <c r="I101" i="7"/>
  <c r="H99" i="7"/>
  <c r="D127" i="32" s="1"/>
  <c r="G99" i="7"/>
  <c r="F99" i="7"/>
  <c r="I98" i="7"/>
  <c r="I97" i="7"/>
  <c r="H95" i="7"/>
  <c r="D88" i="32" s="1"/>
  <c r="E88" i="32" s="1"/>
  <c r="G95" i="7"/>
  <c r="F95" i="7"/>
  <c r="I94" i="7"/>
  <c r="I95" i="7" s="1"/>
  <c r="I91" i="7"/>
  <c r="I90" i="7"/>
  <c r="I89" i="7"/>
  <c r="H87" i="7"/>
  <c r="G87" i="7"/>
  <c r="G92" i="7" s="1"/>
  <c r="F87" i="7"/>
  <c r="F92" i="7" s="1"/>
  <c r="I82" i="7"/>
  <c r="I86" i="7"/>
  <c r="I85" i="7"/>
  <c r="I84" i="7"/>
  <c r="I83" i="7"/>
  <c r="H80" i="7"/>
  <c r="G80" i="7"/>
  <c r="F80" i="7"/>
  <c r="I79" i="7"/>
  <c r="I78" i="7"/>
  <c r="D139" i="32" l="1"/>
  <c r="E139" i="32" s="1"/>
  <c r="E141" i="32"/>
  <c r="I107" i="7"/>
  <c r="E127" i="32"/>
  <c r="H92" i="7"/>
  <c r="D89" i="32" s="1"/>
  <c r="E89" i="32" s="1"/>
  <c r="D80" i="32"/>
  <c r="I99" i="7"/>
  <c r="E35" i="2"/>
  <c r="E167" i="31"/>
  <c r="F18" i="19"/>
  <c r="I103" i="7"/>
  <c r="I87" i="7"/>
  <c r="I92" i="7" s="1"/>
  <c r="E80" i="32" l="1"/>
  <c r="F167" i="31"/>
  <c r="F166" i="31" s="1"/>
  <c r="F165" i="31" s="1"/>
  <c r="E166" i="31"/>
  <c r="E165" i="31" s="1"/>
  <c r="G1179" i="8"/>
  <c r="G1176" i="8"/>
  <c r="F645" i="8" l="1"/>
  <c r="E97" i="31" s="1"/>
  <c r="F97" i="31" s="1"/>
  <c r="F700" i="8" l="1"/>
  <c r="E700" i="8"/>
  <c r="D700" i="8"/>
  <c r="G699" i="8"/>
  <c r="G698" i="8"/>
  <c r="G697" i="8"/>
  <c r="G696" i="8"/>
  <c r="G695" i="8"/>
  <c r="G694" i="8"/>
  <c r="G693" i="8"/>
  <c r="G692" i="8"/>
  <c r="G691" i="8"/>
  <c r="G690" i="8"/>
  <c r="G689" i="8"/>
  <c r="G688" i="8"/>
  <c r="E27" i="2" l="1"/>
  <c r="E104" i="31"/>
  <c r="F104" i="31" s="1"/>
  <c r="G700" i="8"/>
  <c r="H31" i="18"/>
  <c r="G31" i="18"/>
  <c r="F31" i="18"/>
  <c r="I30" i="18"/>
  <c r="I29" i="18"/>
  <c r="F804" i="8"/>
  <c r="E804" i="8"/>
  <c r="D804" i="8"/>
  <c r="G786" i="8"/>
  <c r="G787" i="8"/>
  <c r="G788" i="8"/>
  <c r="G789" i="8"/>
  <c r="G790" i="8"/>
  <c r="G791" i="8"/>
  <c r="G792" i="8"/>
  <c r="G793" i="8"/>
  <c r="G794" i="8"/>
  <c r="G795" i="8"/>
  <c r="G796" i="8"/>
  <c r="G797" i="8"/>
  <c r="G798" i="8"/>
  <c r="G799" i="8"/>
  <c r="G800" i="8"/>
  <c r="G801" i="8"/>
  <c r="G802" i="8"/>
  <c r="G803" i="8"/>
  <c r="G785" i="8"/>
  <c r="F124" i="5"/>
  <c r="E124" i="5"/>
  <c r="D124" i="5"/>
  <c r="G123" i="5"/>
  <c r="G124" i="5" s="1"/>
  <c r="F1119" i="8"/>
  <c r="E177" i="31" s="1"/>
  <c r="E1119" i="8"/>
  <c r="D1119" i="8"/>
  <c r="G1118" i="8"/>
  <c r="G1117" i="8"/>
  <c r="G1116" i="8"/>
  <c r="G1115" i="8"/>
  <c r="G1114" i="8"/>
  <c r="G1113" i="8"/>
  <c r="G1112" i="8"/>
  <c r="G1111" i="8"/>
  <c r="G1110" i="8"/>
  <c r="D178" i="32" l="1"/>
  <c r="E115" i="31"/>
  <c r="F115" i="31" s="1"/>
  <c r="F113" i="31" s="1"/>
  <c r="F177" i="31"/>
  <c r="F173" i="31" s="1"/>
  <c r="E173" i="31"/>
  <c r="D22" i="3"/>
  <c r="I31" i="18"/>
  <c r="E29" i="2"/>
  <c r="E38" i="2"/>
  <c r="G804" i="8"/>
  <c r="G1119" i="8"/>
  <c r="E113" i="31" l="1"/>
  <c r="E178" i="32"/>
  <c r="D174" i="32"/>
  <c r="E174" i="32" s="1"/>
  <c r="I77" i="7"/>
  <c r="I80" i="7" s="1"/>
  <c r="G91" i="5" l="1"/>
  <c r="F92" i="5"/>
  <c r="D124" i="32" s="1"/>
  <c r="E92" i="5"/>
  <c r="D92" i="5"/>
  <c r="D557" i="8"/>
  <c r="E124" i="32" l="1"/>
  <c r="D123" i="32"/>
  <c r="E123" i="32" s="1"/>
  <c r="D1255" i="8"/>
  <c r="F1454" i="8"/>
  <c r="E232" i="31" s="1"/>
  <c r="E1454" i="8"/>
  <c r="D1454" i="8"/>
  <c r="G1452" i="8"/>
  <c r="G1453" i="8"/>
  <c r="G1061" i="8"/>
  <c r="F1062" i="8"/>
  <c r="E171" i="31" s="1"/>
  <c r="E1062" i="8"/>
  <c r="D1062" i="8"/>
  <c r="G556" i="8"/>
  <c r="E475" i="8"/>
  <c r="D475" i="8"/>
  <c r="F416" i="8"/>
  <c r="E66" i="31" s="1"/>
  <c r="F66" i="31" s="1"/>
  <c r="E416" i="8"/>
  <c r="D416" i="8"/>
  <c r="G415" i="8"/>
  <c r="F37" i="5"/>
  <c r="F138" i="5"/>
  <c r="E138" i="5"/>
  <c r="D138" i="5"/>
  <c r="G137" i="5"/>
  <c r="H28" i="7"/>
  <c r="D746" i="8"/>
  <c r="F171" i="31" l="1"/>
  <c r="F170" i="31" s="1"/>
  <c r="E170" i="31"/>
  <c r="F232" i="31"/>
  <c r="F231" i="31" s="1"/>
  <c r="E231" i="31"/>
  <c r="E19" i="2"/>
  <c r="F45" i="5"/>
  <c r="E45" i="5"/>
  <c r="D45" i="5"/>
  <c r="G44" i="5"/>
  <c r="G43" i="5"/>
  <c r="F88" i="8"/>
  <c r="E16" i="31" s="1"/>
  <c r="F16" i="31" s="1"/>
  <c r="E88" i="8"/>
  <c r="G87" i="8"/>
  <c r="G86" i="8"/>
  <c r="G85" i="8"/>
  <c r="G84" i="8"/>
  <c r="G83" i="8"/>
  <c r="G82" i="8"/>
  <c r="G81" i="8"/>
  <c r="G80" i="8"/>
  <c r="G79" i="8"/>
  <c r="G78" i="8"/>
  <c r="G77" i="8"/>
  <c r="G76" i="8"/>
  <c r="D88" i="8"/>
  <c r="D11" i="3" l="1"/>
  <c r="D33" i="32"/>
  <c r="E33" i="32" s="1"/>
  <c r="E9" i="2"/>
  <c r="G45" i="5"/>
  <c r="G88" i="8"/>
  <c r="G66" i="5" l="1"/>
  <c r="G916" i="8"/>
  <c r="G917" i="8"/>
  <c r="G918" i="8"/>
  <c r="G919" i="8"/>
  <c r="G920" i="8"/>
  <c r="G921" i="8"/>
  <c r="G922" i="8"/>
  <c r="G923" i="8"/>
  <c r="G924" i="8"/>
  <c r="G925" i="8"/>
  <c r="G926" i="8"/>
  <c r="G927" i="8"/>
  <c r="G928" i="8"/>
  <c r="G929" i="8"/>
  <c r="G915" i="8"/>
  <c r="F930" i="8"/>
  <c r="E147" i="31" s="1"/>
  <c r="E930" i="8"/>
  <c r="D930" i="8"/>
  <c r="F147" i="31" l="1"/>
  <c r="F146" i="31" s="1"/>
  <c r="E146" i="31"/>
  <c r="E33" i="2"/>
  <c r="G930" i="8"/>
  <c r="F99" i="5" l="1"/>
  <c r="E99" i="5"/>
  <c r="D99" i="5"/>
  <c r="G95" i="5"/>
  <c r="G400" i="8"/>
  <c r="G401" i="8"/>
  <c r="G402" i="8"/>
  <c r="G403" i="8"/>
  <c r="G404" i="8"/>
  <c r="G405" i="8"/>
  <c r="G406" i="8"/>
  <c r="G407" i="8"/>
  <c r="G408" i="8"/>
  <c r="G409" i="8"/>
  <c r="G410" i="8"/>
  <c r="G411" i="8"/>
  <c r="G412" i="8"/>
  <c r="G413" i="8"/>
  <c r="G414" i="8"/>
  <c r="G399" i="8"/>
  <c r="G416" i="8" l="1"/>
  <c r="D13" i="19"/>
  <c r="F12" i="19"/>
  <c r="F13" i="19" s="1"/>
  <c r="C16" i="2" l="1"/>
  <c r="E49" i="31"/>
  <c r="G859" i="8"/>
  <c r="F49" i="31" l="1"/>
  <c r="F130" i="5"/>
  <c r="D212" i="32" s="1"/>
  <c r="E212" i="32" s="1"/>
  <c r="E130" i="5"/>
  <c r="D130" i="5"/>
  <c r="G129" i="5"/>
  <c r="G128" i="5"/>
  <c r="F187" i="8"/>
  <c r="E23" i="31" s="1"/>
  <c r="F23" i="31" s="1"/>
  <c r="E187" i="8"/>
  <c r="D187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74" i="8"/>
  <c r="E12" i="2" l="1"/>
  <c r="G187" i="8"/>
  <c r="G668" i="8" l="1"/>
  <c r="G667" i="8"/>
  <c r="G666" i="8"/>
  <c r="G665" i="8"/>
  <c r="G664" i="8"/>
  <c r="G663" i="8"/>
  <c r="G662" i="8"/>
  <c r="G661" i="8"/>
  <c r="G660" i="8"/>
  <c r="G659" i="8"/>
  <c r="G658" i="8"/>
  <c r="G657" i="8"/>
  <c r="G656" i="8"/>
  <c r="G655" i="8"/>
  <c r="F1279" i="8"/>
  <c r="E216" i="31" s="1"/>
  <c r="F216" i="31" s="1"/>
  <c r="E1279" i="8"/>
  <c r="G1278" i="8"/>
  <c r="G1277" i="8"/>
  <c r="G1276" i="8"/>
  <c r="G1275" i="8"/>
  <c r="G1274" i="8"/>
  <c r="G1273" i="8"/>
  <c r="G1272" i="8"/>
  <c r="D1279" i="8"/>
  <c r="E43" i="2" l="1"/>
  <c r="G1279" i="8"/>
  <c r="F40" i="5" l="1"/>
  <c r="G112" i="5" l="1"/>
  <c r="G113" i="5"/>
  <c r="E114" i="5"/>
  <c r="F114" i="5"/>
  <c r="D148" i="32" s="1"/>
  <c r="D114" i="5"/>
  <c r="G111" i="5"/>
  <c r="E108" i="5"/>
  <c r="D108" i="5"/>
  <c r="G103" i="5"/>
  <c r="G104" i="5"/>
  <c r="G105" i="5"/>
  <c r="G106" i="5"/>
  <c r="G102" i="5"/>
  <c r="F107" i="5"/>
  <c r="F108" i="5" s="1"/>
  <c r="F87" i="5"/>
  <c r="D115" i="32" s="1"/>
  <c r="E87" i="5"/>
  <c r="D87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72" i="5"/>
  <c r="G98" i="5"/>
  <c r="G97" i="5"/>
  <c r="G96" i="5"/>
  <c r="G669" i="8"/>
  <c r="F669" i="8"/>
  <c r="E102" i="31" s="1"/>
  <c r="F102" i="31" s="1"/>
  <c r="E669" i="8"/>
  <c r="D669" i="8"/>
  <c r="E148" i="32" l="1"/>
  <c r="D147" i="32"/>
  <c r="E147" i="32" s="1"/>
  <c r="E115" i="32"/>
  <c r="F101" i="31"/>
  <c r="E101" i="31"/>
  <c r="E26" i="2"/>
  <c r="G99" i="5"/>
  <c r="G107" i="5"/>
  <c r="G108" i="5" s="1"/>
  <c r="G114" i="5"/>
  <c r="G87" i="5"/>
  <c r="F69" i="5" l="1"/>
  <c r="E69" i="5"/>
  <c r="G28" i="7" l="1"/>
  <c r="F28" i="7"/>
  <c r="I27" i="7"/>
  <c r="I26" i="7"/>
  <c r="I25" i="7"/>
  <c r="I24" i="7"/>
  <c r="I23" i="7"/>
  <c r="I22" i="7"/>
  <c r="D9" i="19" l="1"/>
  <c r="D19" i="19" s="1"/>
  <c r="F8" i="19"/>
  <c r="F7" i="19"/>
  <c r="D22" i="31" l="1"/>
  <c r="F95" i="31"/>
  <c r="D89" i="31"/>
  <c r="D77" i="31" s="1"/>
  <c r="F9" i="19"/>
  <c r="F19" i="19" s="1"/>
  <c r="C11" i="2"/>
  <c r="C48" i="2" s="1"/>
  <c r="F31" i="8"/>
  <c r="G68" i="5"/>
  <c r="D69" i="5"/>
  <c r="D9" i="31" l="1"/>
  <c r="D8" i="31" s="1"/>
  <c r="D7" i="31" s="1"/>
  <c r="F557" i="8"/>
  <c r="E90" i="31" s="1"/>
  <c r="F8" i="5"/>
  <c r="D10" i="32" s="1"/>
  <c r="E8" i="5"/>
  <c r="D8" i="5"/>
  <c r="G7" i="5"/>
  <c r="G8" i="5" s="1"/>
  <c r="H9" i="18"/>
  <c r="E10" i="31" s="1"/>
  <c r="G9" i="18"/>
  <c r="F8" i="18"/>
  <c r="F9" i="18" s="1"/>
  <c r="F53" i="5"/>
  <c r="G594" i="8"/>
  <c r="G595" i="8"/>
  <c r="G596" i="8"/>
  <c r="G597" i="8"/>
  <c r="G598" i="8"/>
  <c r="G599" i="8"/>
  <c r="G600" i="8"/>
  <c r="G601" i="8"/>
  <c r="G602" i="8"/>
  <c r="G603" i="8"/>
  <c r="G604" i="8"/>
  <c r="G605" i="8"/>
  <c r="G606" i="8"/>
  <c r="G607" i="8"/>
  <c r="G608" i="8"/>
  <c r="G609" i="8"/>
  <c r="G593" i="8"/>
  <c r="F610" i="8"/>
  <c r="E96" i="31" s="1"/>
  <c r="F96" i="31" s="1"/>
  <c r="E610" i="8"/>
  <c r="D610" i="8"/>
  <c r="H32" i="7"/>
  <c r="D146" i="32" s="1"/>
  <c r="G32" i="7"/>
  <c r="F32" i="7"/>
  <c r="D18" i="3"/>
  <c r="F18" i="5"/>
  <c r="D16" i="32" s="1"/>
  <c r="E16" i="32" s="1"/>
  <c r="D18" i="5"/>
  <c r="G1343" i="8"/>
  <c r="G1182" i="8"/>
  <c r="G1175" i="8"/>
  <c r="G17" i="5"/>
  <c r="G18" i="5" s="1"/>
  <c r="D146" i="5"/>
  <c r="F146" i="5"/>
  <c r="D223" i="32" s="1"/>
  <c r="E223" i="32" s="1"/>
  <c r="E146" i="5"/>
  <c r="F1183" i="8"/>
  <c r="E184" i="31" s="1"/>
  <c r="D1183" i="8"/>
  <c r="G1181" i="8"/>
  <c r="G1180" i="8"/>
  <c r="G1178" i="8"/>
  <c r="G1177" i="8"/>
  <c r="F870" i="8"/>
  <c r="E870" i="8"/>
  <c r="D870" i="8"/>
  <c r="G851" i="8"/>
  <c r="G852" i="8"/>
  <c r="G853" i="8"/>
  <c r="G854" i="8"/>
  <c r="G855" i="8"/>
  <c r="G856" i="8"/>
  <c r="G857" i="8"/>
  <c r="G858" i="8"/>
  <c r="G860" i="8"/>
  <c r="G861" i="8"/>
  <c r="G862" i="8"/>
  <c r="G863" i="8"/>
  <c r="G864" i="8"/>
  <c r="G865" i="8"/>
  <c r="G866" i="8"/>
  <c r="G867" i="8"/>
  <c r="G868" i="8"/>
  <c r="G869" i="8"/>
  <c r="G850" i="8"/>
  <c r="G1338" i="8"/>
  <c r="G1339" i="8"/>
  <c r="G1340" i="8"/>
  <c r="G1341" i="8"/>
  <c r="G1342" i="8"/>
  <c r="G1344" i="8"/>
  <c r="G1345" i="8"/>
  <c r="G1346" i="8"/>
  <c r="G1337" i="8"/>
  <c r="F1347" i="8"/>
  <c r="E223" i="31" s="1"/>
  <c r="F223" i="31" s="1"/>
  <c r="E1347" i="8"/>
  <c r="D1347" i="8"/>
  <c r="G142" i="5"/>
  <c r="G143" i="5"/>
  <c r="G144" i="5"/>
  <c r="G145" i="5"/>
  <c r="G141" i="5"/>
  <c r="G90" i="5"/>
  <c r="G92" i="5" s="1"/>
  <c r="F1399" i="8"/>
  <c r="E224" i="31" s="1"/>
  <c r="F224" i="31" s="1"/>
  <c r="E1399" i="8"/>
  <c r="D1399" i="8"/>
  <c r="G1371" i="8"/>
  <c r="G1372" i="8"/>
  <c r="G1373" i="8"/>
  <c r="G1374" i="8"/>
  <c r="G1375" i="8"/>
  <c r="G1376" i="8"/>
  <c r="G1377" i="8"/>
  <c r="G1378" i="8"/>
  <c r="G1379" i="8"/>
  <c r="G1380" i="8"/>
  <c r="G1381" i="8"/>
  <c r="G1382" i="8"/>
  <c r="G1383" i="8"/>
  <c r="G1384" i="8"/>
  <c r="G1385" i="8"/>
  <c r="G1386" i="8"/>
  <c r="G1387" i="8"/>
  <c r="G1388" i="8"/>
  <c r="G1389" i="8"/>
  <c r="G1390" i="8"/>
  <c r="G1391" i="8"/>
  <c r="G1393" i="8"/>
  <c r="G1394" i="8"/>
  <c r="G1395" i="8"/>
  <c r="G1396" i="8"/>
  <c r="G1397" i="8"/>
  <c r="G1398" i="8"/>
  <c r="G1370" i="8"/>
  <c r="E120" i="5"/>
  <c r="E40" i="5"/>
  <c r="J40" i="5" s="1"/>
  <c r="D40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21" i="5"/>
  <c r="F746" i="8"/>
  <c r="F49" i="5"/>
  <c r="D55" i="32" s="1"/>
  <c r="E49" i="5"/>
  <c r="D49" i="5"/>
  <c r="G48" i="5"/>
  <c r="G49" i="5" s="1"/>
  <c r="G136" i="5"/>
  <c r="G135" i="5"/>
  <c r="E147" i="5" l="1"/>
  <c r="E55" i="32"/>
  <c r="D52" i="32"/>
  <c r="E52" i="32" s="1"/>
  <c r="E10" i="32"/>
  <c r="E146" i="32"/>
  <c r="D145" i="32"/>
  <c r="E145" i="32" s="1"/>
  <c r="E31" i="2"/>
  <c r="E130" i="31"/>
  <c r="F184" i="31"/>
  <c r="F179" i="31" s="1"/>
  <c r="E179" i="31"/>
  <c r="E89" i="31"/>
  <c r="F90" i="31"/>
  <c r="F89" i="31" s="1"/>
  <c r="F10" i="31"/>
  <c r="D9" i="3"/>
  <c r="E24" i="2"/>
  <c r="E46" i="2"/>
  <c r="E40" i="2"/>
  <c r="E45" i="2"/>
  <c r="D17" i="3"/>
  <c r="D7" i="3"/>
  <c r="D25" i="3"/>
  <c r="D12" i="3"/>
  <c r="I8" i="18"/>
  <c r="I9" i="18" s="1"/>
  <c r="G610" i="8"/>
  <c r="E1183" i="8"/>
  <c r="G146" i="5"/>
  <c r="G1183" i="8"/>
  <c r="G870" i="8"/>
  <c r="G1347" i="8"/>
  <c r="G1399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06" i="8"/>
  <c r="F220" i="8"/>
  <c r="E26" i="31" s="1"/>
  <c r="F26" i="31" s="1"/>
  <c r="E220" i="8"/>
  <c r="D220" i="8"/>
  <c r="F130" i="31" l="1"/>
  <c r="F129" i="31" s="1"/>
  <c r="E129" i="31"/>
  <c r="E13" i="2"/>
  <c r="G220" i="8"/>
  <c r="D92" i="32" l="1"/>
  <c r="G57" i="5"/>
  <c r="D90" i="32" l="1"/>
  <c r="E90" i="32" s="1"/>
  <c r="E92" i="32"/>
  <c r="D16" i="3"/>
  <c r="G1248" i="8"/>
  <c r="D14" i="3"/>
  <c r="G127" i="5"/>
  <c r="G130" i="5" s="1"/>
  <c r="G133" i="5"/>
  <c r="G134" i="5"/>
  <c r="G58" i="5"/>
  <c r="G60" i="5" s="1"/>
  <c r="G110" i="8"/>
  <c r="G111" i="8"/>
  <c r="G112" i="8"/>
  <c r="G113" i="8"/>
  <c r="G114" i="8"/>
  <c r="G115" i="8"/>
  <c r="G116" i="8"/>
  <c r="G117" i="8"/>
  <c r="G118" i="8"/>
  <c r="G119" i="8"/>
  <c r="G120" i="8"/>
  <c r="G109" i="8"/>
  <c r="F121" i="8"/>
  <c r="E20" i="31" s="1"/>
  <c r="F20" i="31" s="1"/>
  <c r="E121" i="8"/>
  <c r="D121" i="8"/>
  <c r="F54" i="5"/>
  <c r="D36" i="32" s="1"/>
  <c r="G53" i="5"/>
  <c r="G52" i="5"/>
  <c r="D54" i="5"/>
  <c r="F473" i="8"/>
  <c r="G431" i="8"/>
  <c r="G432" i="8"/>
  <c r="G433" i="8"/>
  <c r="G434" i="8"/>
  <c r="G435" i="8"/>
  <c r="G436" i="8"/>
  <c r="G437" i="8"/>
  <c r="G438" i="8"/>
  <c r="G439" i="8"/>
  <c r="G440" i="8"/>
  <c r="G441" i="8"/>
  <c r="G430" i="8"/>
  <c r="F442" i="8"/>
  <c r="E69" i="31" s="1"/>
  <c r="E442" i="8"/>
  <c r="D442" i="8"/>
  <c r="G463" i="8"/>
  <c r="G464" i="8"/>
  <c r="G465" i="8"/>
  <c r="G466" i="8"/>
  <c r="G467" i="8"/>
  <c r="G468" i="8"/>
  <c r="G469" i="8"/>
  <c r="G470" i="8"/>
  <c r="G471" i="8"/>
  <c r="G472" i="8"/>
  <c r="G474" i="8"/>
  <c r="G462" i="8"/>
  <c r="E36" i="32" l="1"/>
  <c r="D34" i="32"/>
  <c r="E34" i="32" s="1"/>
  <c r="F69" i="31"/>
  <c r="F67" i="31" s="1"/>
  <c r="E67" i="31"/>
  <c r="E10" i="2"/>
  <c r="E20" i="2"/>
  <c r="F475" i="8"/>
  <c r="E35" i="31" s="1"/>
  <c r="D13" i="3"/>
  <c r="D23" i="3"/>
  <c r="G442" i="8"/>
  <c r="G54" i="5"/>
  <c r="G121" i="8"/>
  <c r="G473" i="8"/>
  <c r="F35" i="31" l="1"/>
  <c r="F33" i="31" s="1"/>
  <c r="E33" i="31"/>
  <c r="E21" i="2"/>
  <c r="G475" i="8"/>
  <c r="H75" i="7"/>
  <c r="D109" i="32" s="1"/>
  <c r="G75" i="7"/>
  <c r="F75" i="7"/>
  <c r="I74" i="7"/>
  <c r="I75" i="7" s="1"/>
  <c r="G64" i="5"/>
  <c r="D108" i="32" l="1"/>
  <c r="E108" i="32" s="1"/>
  <c r="E109" i="32"/>
  <c r="G13" i="5"/>
  <c r="G12" i="5"/>
  <c r="G11" i="5"/>
  <c r="D20" i="3"/>
  <c r="H72" i="7" l="1"/>
  <c r="D19" i="32" s="1"/>
  <c r="E19" i="32" s="1"/>
  <c r="G72" i="7"/>
  <c r="F72" i="7"/>
  <c r="I71" i="7"/>
  <c r="I72" i="7" s="1"/>
  <c r="H69" i="7" l="1"/>
  <c r="D191" i="32" s="1"/>
  <c r="E191" i="32" s="1"/>
  <c r="G69" i="7"/>
  <c r="F69" i="7"/>
  <c r="I68" i="7"/>
  <c r="I69" i="7" s="1"/>
  <c r="H66" i="7"/>
  <c r="D163" i="32" s="1"/>
  <c r="G66" i="7"/>
  <c r="F66" i="7"/>
  <c r="I65" i="7"/>
  <c r="I64" i="7"/>
  <c r="H62" i="7"/>
  <c r="D209" i="32" s="1"/>
  <c r="E209" i="32" s="1"/>
  <c r="G62" i="7"/>
  <c r="F62" i="7"/>
  <c r="I61" i="7"/>
  <c r="I60" i="7"/>
  <c r="I59" i="7"/>
  <c r="I56" i="7"/>
  <c r="I57" i="7" s="1"/>
  <c r="H57" i="7"/>
  <c r="D226" i="32" s="1"/>
  <c r="G57" i="7"/>
  <c r="F57" i="7"/>
  <c r="H55" i="7"/>
  <c r="D84" i="32" s="1"/>
  <c r="G55" i="7"/>
  <c r="F55" i="7"/>
  <c r="I54" i="7"/>
  <c r="I55" i="7" s="1"/>
  <c r="H52" i="7"/>
  <c r="D107" i="32" s="1"/>
  <c r="E107" i="32" s="1"/>
  <c r="G52" i="7"/>
  <c r="F52" i="7"/>
  <c r="I51" i="7"/>
  <c r="I50" i="7"/>
  <c r="H48" i="7"/>
  <c r="D106" i="32" s="1"/>
  <c r="G48" i="7"/>
  <c r="F48" i="7"/>
  <c r="I47" i="7"/>
  <c r="I46" i="7"/>
  <c r="H44" i="7"/>
  <c r="D116" i="32" s="1"/>
  <c r="G44" i="7"/>
  <c r="F44" i="7"/>
  <c r="I43" i="7"/>
  <c r="I44" i="7" s="1"/>
  <c r="H41" i="7"/>
  <c r="D155" i="32" s="1"/>
  <c r="G41" i="7"/>
  <c r="F41" i="7"/>
  <c r="I40" i="7"/>
  <c r="I41" i="7" s="1"/>
  <c r="H38" i="7"/>
  <c r="D190" i="32" s="1"/>
  <c r="E190" i="32" s="1"/>
  <c r="G38" i="7"/>
  <c r="F38" i="7"/>
  <c r="I37" i="7"/>
  <c r="I38" i="7" s="1"/>
  <c r="H35" i="7"/>
  <c r="D185" i="32" s="1"/>
  <c r="G35" i="7"/>
  <c r="F35" i="7"/>
  <c r="I34" i="7"/>
  <c r="I35" i="7" s="1"/>
  <c r="I30" i="7"/>
  <c r="I32" i="7" s="1"/>
  <c r="I21" i="7"/>
  <c r="I20" i="7"/>
  <c r="I19" i="7"/>
  <c r="H17" i="7"/>
  <c r="D131" i="32" s="1"/>
  <c r="G17" i="7"/>
  <c r="F17" i="7"/>
  <c r="I16" i="7"/>
  <c r="I15" i="7"/>
  <c r="F13" i="7"/>
  <c r="G13" i="7"/>
  <c r="H13" i="7"/>
  <c r="D221" i="32" s="1"/>
  <c r="I12" i="7"/>
  <c r="I13" i="7" s="1"/>
  <c r="H10" i="7"/>
  <c r="D206" i="32" s="1"/>
  <c r="G10" i="7"/>
  <c r="F10" i="7"/>
  <c r="I9" i="7"/>
  <c r="I10" i="7" s="1"/>
  <c r="I6" i="7"/>
  <c r="E185" i="32" l="1"/>
  <c r="D180" i="32"/>
  <c r="E180" i="32" s="1"/>
  <c r="D154" i="32"/>
  <c r="E155" i="32"/>
  <c r="E206" i="32"/>
  <c r="D205" i="32"/>
  <c r="E205" i="32" s="1"/>
  <c r="E106" i="32"/>
  <c r="D102" i="32"/>
  <c r="E102" i="32" s="1"/>
  <c r="E163" i="32"/>
  <c r="D162" i="32"/>
  <c r="E162" i="32" s="1"/>
  <c r="E221" i="32"/>
  <c r="D220" i="32"/>
  <c r="E220" i="32" s="1"/>
  <c r="E84" i="32"/>
  <c r="D79" i="32"/>
  <c r="E131" i="32"/>
  <c r="E116" i="32"/>
  <c r="D114" i="32"/>
  <c r="E114" i="32" s="1"/>
  <c r="E226" i="32"/>
  <c r="D225" i="32"/>
  <c r="E225" i="32" s="1"/>
  <c r="I28" i="7"/>
  <c r="I17" i="7"/>
  <c r="I48" i="7"/>
  <c r="I52" i="7"/>
  <c r="I66" i="7"/>
  <c r="I62" i="7"/>
  <c r="I25" i="18"/>
  <c r="I26" i="18" s="1"/>
  <c r="H26" i="18"/>
  <c r="G26" i="18"/>
  <c r="F26" i="18"/>
  <c r="I21" i="18"/>
  <c r="I23" i="18" s="1"/>
  <c r="H19" i="18"/>
  <c r="G19" i="18"/>
  <c r="F19" i="18"/>
  <c r="I18" i="18"/>
  <c r="I19" i="18" s="1"/>
  <c r="H16" i="18"/>
  <c r="E111" i="31" s="1"/>
  <c r="G16" i="18"/>
  <c r="F16" i="18"/>
  <c r="I15" i="18"/>
  <c r="I14" i="18"/>
  <c r="E79" i="32" l="1"/>
  <c r="E154" i="32"/>
  <c r="D153" i="32"/>
  <c r="E153" i="32" s="1"/>
  <c r="E108" i="31"/>
  <c r="F108" i="31" s="1"/>
  <c r="F107" i="31" s="1"/>
  <c r="E118" i="31"/>
  <c r="E117" i="31" s="1"/>
  <c r="E110" i="31"/>
  <c r="F111" i="31"/>
  <c r="F110" i="31" s="1"/>
  <c r="I16" i="18"/>
  <c r="H12" i="18"/>
  <c r="E206" i="31" s="1"/>
  <c r="G12" i="18"/>
  <c r="G39" i="18" s="1"/>
  <c r="F12" i="18"/>
  <c r="F39" i="18" s="1"/>
  <c r="I11" i="18"/>
  <c r="I12" i="18" s="1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366" i="8"/>
  <c r="F380" i="8"/>
  <c r="E60" i="31" s="1"/>
  <c r="E380" i="8"/>
  <c r="D380" i="8"/>
  <c r="G1436" i="8"/>
  <c r="G1437" i="8"/>
  <c r="G1438" i="8"/>
  <c r="G1439" i="8"/>
  <c r="G1440" i="8"/>
  <c r="G1441" i="8"/>
  <c r="G1442" i="8"/>
  <c r="G1443" i="8"/>
  <c r="G1444" i="8"/>
  <c r="G1445" i="8"/>
  <c r="G1446" i="8"/>
  <c r="G1447" i="8"/>
  <c r="G1448" i="8"/>
  <c r="G1449" i="8"/>
  <c r="G1450" i="8"/>
  <c r="G1451" i="8"/>
  <c r="G1435" i="8"/>
  <c r="I39" i="18" l="1"/>
  <c r="F118" i="31"/>
  <c r="F117" i="31" s="1"/>
  <c r="H39" i="18"/>
  <c r="J39" i="18" s="1"/>
  <c r="E107" i="31"/>
  <c r="F60" i="31"/>
  <c r="F56" i="31" s="1"/>
  <c r="E56" i="31"/>
  <c r="F206" i="31"/>
  <c r="C6" i="4"/>
  <c r="E18" i="2"/>
  <c r="G1454" i="8"/>
  <c r="D19" i="3"/>
  <c r="E47" i="2"/>
  <c r="G380" i="8"/>
  <c r="E31" i="8" l="1"/>
  <c r="D17" i="8"/>
  <c r="D10" i="8"/>
  <c r="D28" i="8"/>
  <c r="D31" i="8" l="1"/>
  <c r="E7" i="2"/>
  <c r="F57" i="8"/>
  <c r="E11" i="31" s="1"/>
  <c r="E57" i="8"/>
  <c r="D57" i="8"/>
  <c r="G11" i="8"/>
  <c r="G12" i="8"/>
  <c r="G13" i="8"/>
  <c r="G14" i="8"/>
  <c r="G15" i="8"/>
  <c r="G16" i="8"/>
  <c r="G18" i="8"/>
  <c r="G19" i="8"/>
  <c r="G20" i="8"/>
  <c r="G21" i="8"/>
  <c r="G22" i="8"/>
  <c r="G23" i="8"/>
  <c r="G24" i="8"/>
  <c r="G25" i="8"/>
  <c r="G26" i="8"/>
  <c r="G27" i="8"/>
  <c r="G29" i="8"/>
  <c r="G30" i="8"/>
  <c r="G28" i="8"/>
  <c r="G17" i="8"/>
  <c r="G10" i="8"/>
  <c r="F11" i="31" l="1"/>
  <c r="G31" i="8"/>
  <c r="F14" i="5"/>
  <c r="D11" i="32" s="1"/>
  <c r="D14" i="5"/>
  <c r="G14" i="5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43" i="8"/>
  <c r="E8" i="2"/>
  <c r="F822" i="8"/>
  <c r="E126" i="31" s="1"/>
  <c r="G821" i="8"/>
  <c r="G820" i="8"/>
  <c r="G819" i="8"/>
  <c r="G818" i="8"/>
  <c r="G817" i="8"/>
  <c r="E822" i="8"/>
  <c r="D822" i="8"/>
  <c r="D894" i="8" s="1"/>
  <c r="F894" i="8"/>
  <c r="E139" i="31" s="1"/>
  <c r="E894" i="8"/>
  <c r="G883" i="8"/>
  <c r="G884" i="8"/>
  <c r="G885" i="8"/>
  <c r="G886" i="8"/>
  <c r="G887" i="8"/>
  <c r="G888" i="8"/>
  <c r="G889" i="8"/>
  <c r="G890" i="8"/>
  <c r="G891" i="8"/>
  <c r="G892" i="8"/>
  <c r="G893" i="8"/>
  <c r="G882" i="8"/>
  <c r="G132" i="5"/>
  <c r="G138" i="5" s="1"/>
  <c r="D15" i="3"/>
  <c r="G67" i="5"/>
  <c r="G65" i="5"/>
  <c r="G63" i="5"/>
  <c r="E28" i="2"/>
  <c r="E746" i="8"/>
  <c r="G722" i="8"/>
  <c r="G723" i="8"/>
  <c r="G724" i="8"/>
  <c r="G725" i="8"/>
  <c r="G726" i="8"/>
  <c r="G727" i="8"/>
  <c r="G728" i="8"/>
  <c r="G729" i="8"/>
  <c r="G730" i="8"/>
  <c r="G731" i="8"/>
  <c r="G732" i="8"/>
  <c r="G733" i="8"/>
  <c r="G734" i="8"/>
  <c r="G735" i="8"/>
  <c r="G736" i="8"/>
  <c r="G737" i="8"/>
  <c r="G738" i="8"/>
  <c r="G739" i="8"/>
  <c r="G740" i="8"/>
  <c r="G741" i="8"/>
  <c r="G743" i="8"/>
  <c r="G744" i="8"/>
  <c r="G745" i="8"/>
  <c r="G721" i="8"/>
  <c r="E11" i="32" l="1"/>
  <c r="D9" i="32"/>
  <c r="F139" i="31"/>
  <c r="F138" i="31" s="1"/>
  <c r="E138" i="31"/>
  <c r="F126" i="31"/>
  <c r="F122" i="31" s="1"/>
  <c r="E122" i="31"/>
  <c r="E32" i="2"/>
  <c r="E30" i="2"/>
  <c r="G57" i="8"/>
  <c r="G69" i="5"/>
  <c r="G746" i="8"/>
  <c r="D8" i="3"/>
  <c r="G822" i="8"/>
  <c r="G894" i="8"/>
  <c r="F334" i="8"/>
  <c r="E334" i="8"/>
  <c r="D334" i="8"/>
  <c r="G333" i="8"/>
  <c r="G334" i="8" s="1"/>
  <c r="F156" i="8"/>
  <c r="E22" i="31" s="1"/>
  <c r="E156" i="8"/>
  <c r="D156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F120" i="5"/>
  <c r="D120" i="5"/>
  <c r="D147" i="5" s="1"/>
  <c r="D172" i="32" l="1"/>
  <c r="F147" i="5"/>
  <c r="E9" i="32"/>
  <c r="D8" i="32"/>
  <c r="F22" i="31"/>
  <c r="F9" i="31" s="1"/>
  <c r="E9" i="31"/>
  <c r="E17" i="2"/>
  <c r="E54" i="31"/>
  <c r="E11" i="2"/>
  <c r="D21" i="3"/>
  <c r="G156" i="8"/>
  <c r="G119" i="5"/>
  <c r="G118" i="5"/>
  <c r="G117" i="5"/>
  <c r="E8" i="32" l="1"/>
  <c r="D171" i="32"/>
  <c r="E172" i="32"/>
  <c r="F54" i="31"/>
  <c r="F51" i="31" s="1"/>
  <c r="E51" i="31"/>
  <c r="G120" i="5"/>
  <c r="G1051" i="8"/>
  <c r="G1054" i="8"/>
  <c r="G1055" i="8"/>
  <c r="G1056" i="8"/>
  <c r="G1057" i="8"/>
  <c r="G1058" i="8"/>
  <c r="G1059" i="8"/>
  <c r="G1060" i="8"/>
  <c r="E36" i="2"/>
  <c r="G1053" i="8"/>
  <c r="G1052" i="8"/>
  <c r="G1050" i="8"/>
  <c r="G1049" i="8"/>
  <c r="G1048" i="8"/>
  <c r="G1047" i="8"/>
  <c r="G1046" i="8"/>
  <c r="G1045" i="8"/>
  <c r="F1255" i="8"/>
  <c r="E210" i="31" s="1"/>
  <c r="E1255" i="8"/>
  <c r="G1250" i="8"/>
  <c r="G1251" i="8"/>
  <c r="G1252" i="8"/>
  <c r="G1253" i="8"/>
  <c r="G1254" i="8"/>
  <c r="G1249" i="8"/>
  <c r="G1247" i="8"/>
  <c r="G1246" i="8"/>
  <c r="G1245" i="8"/>
  <c r="G1244" i="8"/>
  <c r="G1243" i="8"/>
  <c r="G1242" i="8"/>
  <c r="G1241" i="8"/>
  <c r="G1240" i="8"/>
  <c r="E23" i="2"/>
  <c r="G529" i="8"/>
  <c r="G530" i="8"/>
  <c r="G531" i="8"/>
  <c r="G532" i="8"/>
  <c r="G533" i="8"/>
  <c r="G534" i="8"/>
  <c r="G535" i="8"/>
  <c r="G536" i="8"/>
  <c r="G537" i="8"/>
  <c r="G538" i="8"/>
  <c r="G539" i="8"/>
  <c r="G540" i="8"/>
  <c r="G541" i="8"/>
  <c r="G542" i="8"/>
  <c r="G543" i="8"/>
  <c r="G544" i="8"/>
  <c r="G545" i="8"/>
  <c r="G546" i="8"/>
  <c r="G547" i="8"/>
  <c r="G548" i="8"/>
  <c r="G549" i="8"/>
  <c r="G551" i="8"/>
  <c r="G552" i="8"/>
  <c r="G553" i="8"/>
  <c r="G554" i="8"/>
  <c r="G555" i="8"/>
  <c r="G528" i="8"/>
  <c r="E171" i="32" l="1"/>
  <c r="D170" i="32"/>
  <c r="E170" i="32" s="1"/>
  <c r="F210" i="31"/>
  <c r="F205" i="31" s="1"/>
  <c r="E205" i="31"/>
  <c r="G557" i="8"/>
  <c r="E42" i="2"/>
  <c r="G1062" i="8"/>
  <c r="G1255" i="8"/>
  <c r="F508" i="8" l="1"/>
  <c r="E85" i="31" s="1"/>
  <c r="E508" i="8"/>
  <c r="D508" i="8"/>
  <c r="G496" i="8"/>
  <c r="G497" i="8"/>
  <c r="G498" i="8"/>
  <c r="G499" i="8"/>
  <c r="G500" i="8"/>
  <c r="G501" i="8"/>
  <c r="G502" i="8"/>
  <c r="G503" i="8"/>
  <c r="G504" i="8"/>
  <c r="G505" i="8"/>
  <c r="G506" i="8"/>
  <c r="G507" i="8"/>
  <c r="G495" i="8"/>
  <c r="D10" i="3"/>
  <c r="F1319" i="8"/>
  <c r="E221" i="31" s="1"/>
  <c r="E1319" i="8"/>
  <c r="G1306" i="8"/>
  <c r="G1307" i="8"/>
  <c r="G1308" i="8"/>
  <c r="G1309" i="8"/>
  <c r="G1310" i="8"/>
  <c r="G1311" i="8"/>
  <c r="G1312" i="8"/>
  <c r="G1313" i="8"/>
  <c r="G1314" i="8"/>
  <c r="G1315" i="8"/>
  <c r="G1316" i="8"/>
  <c r="G1317" i="8"/>
  <c r="G1318" i="8"/>
  <c r="G1305" i="8"/>
  <c r="D1319" i="8"/>
  <c r="G302" i="8"/>
  <c r="G303" i="8"/>
  <c r="G304" i="8"/>
  <c r="G305" i="8"/>
  <c r="G306" i="8"/>
  <c r="G307" i="8"/>
  <c r="G308" i="8"/>
  <c r="G309" i="8"/>
  <c r="G310" i="8"/>
  <c r="G311" i="8"/>
  <c r="G312" i="8"/>
  <c r="G301" i="8"/>
  <c r="F313" i="8"/>
  <c r="E48" i="31" s="1"/>
  <c r="E313" i="8"/>
  <c r="D313" i="8"/>
  <c r="G39" i="5"/>
  <c r="G38" i="5"/>
  <c r="F221" i="31" l="1"/>
  <c r="F220" i="31" s="1"/>
  <c r="F169" i="31" s="1"/>
  <c r="E220" i="31"/>
  <c r="E169" i="31" s="1"/>
  <c r="F48" i="31"/>
  <c r="F45" i="31" s="1"/>
  <c r="F8" i="31" s="1"/>
  <c r="E45" i="31"/>
  <c r="E8" i="31" s="1"/>
  <c r="F85" i="31"/>
  <c r="F78" i="31" s="1"/>
  <c r="F77" i="31" s="1"/>
  <c r="E78" i="31"/>
  <c r="E77" i="31" s="1"/>
  <c r="E15" i="2"/>
  <c r="E22" i="2"/>
  <c r="G40" i="5"/>
  <c r="G147" i="5" s="1"/>
  <c r="E44" i="2"/>
  <c r="D24" i="3"/>
  <c r="D26" i="3" s="1"/>
  <c r="G508" i="8"/>
  <c r="G1319" i="8"/>
  <c r="G313" i="8"/>
  <c r="E7" i="31" l="1"/>
  <c r="F7" i="31"/>
  <c r="G625" i="8"/>
  <c r="G626" i="8"/>
  <c r="G627" i="8"/>
  <c r="G628" i="8"/>
  <c r="G629" i="8"/>
  <c r="G630" i="8"/>
  <c r="G631" i="8"/>
  <c r="G632" i="8"/>
  <c r="G633" i="8"/>
  <c r="G634" i="8"/>
  <c r="G635" i="8"/>
  <c r="G636" i="8"/>
  <c r="G637" i="8"/>
  <c r="G638" i="8"/>
  <c r="G639" i="8"/>
  <c r="G640" i="8"/>
  <c r="G641" i="8"/>
  <c r="G642" i="8"/>
  <c r="G643" i="8"/>
  <c r="G644" i="8"/>
  <c r="G624" i="8"/>
  <c r="E645" i="8"/>
  <c r="D645" i="8"/>
  <c r="E25" i="2" l="1"/>
  <c r="E48" i="2" s="1"/>
  <c r="G645" i="8"/>
  <c r="C49" i="2" l="1"/>
  <c r="C9" i="4" s="1"/>
  <c r="H7" i="7" l="1"/>
  <c r="G7" i="7"/>
  <c r="G108" i="7" s="1"/>
  <c r="F7" i="7"/>
  <c r="F108" i="7" s="1"/>
  <c r="I7" i="7"/>
  <c r="I108" i="7" s="1"/>
  <c r="H108" i="7" l="1"/>
  <c r="D138" i="32"/>
  <c r="C14" i="4"/>
  <c r="E138" i="32" l="1"/>
  <c r="D130" i="32"/>
  <c r="C8" i="4"/>
  <c r="E130" i="32" l="1"/>
  <c r="D78" i="32"/>
  <c r="C20" i="4"/>
  <c r="E78" i="32" l="1"/>
  <c r="D7" i="32"/>
  <c r="E7" i="32" s="1"/>
  <c r="C15" i="4"/>
  <c r="C16" i="4" s="1"/>
  <c r="C10" i="4" s="1"/>
  <c r="C11" i="4" s="1"/>
  <c r="C21" i="4" l="1"/>
</calcChain>
</file>

<file path=xl/sharedStrings.xml><?xml version="1.0" encoding="utf-8"?>
<sst xmlns="http://schemas.openxmlformats.org/spreadsheetml/2006/main" count="3360" uniqueCount="1172">
  <si>
    <t>S/N</t>
  </si>
  <si>
    <t>MDAs</t>
  </si>
  <si>
    <t>PAGE</t>
  </si>
  <si>
    <t>A: RECURRENT EXPENDITURE</t>
  </si>
  <si>
    <t>B: CAPITAL EXPENDITURE</t>
  </si>
  <si>
    <t>ONDO STATE OF NIGERIA</t>
  </si>
  <si>
    <t>SUMMARY OF POOLED FUNDS</t>
  </si>
  <si>
    <t>AMOUNT (N)</t>
  </si>
  <si>
    <t>Personnel Cost</t>
  </si>
  <si>
    <t>Total Pooled Fund from Capital</t>
  </si>
  <si>
    <t>PROJECT DETAILS</t>
  </si>
  <si>
    <t>ADMIN CODE</t>
  </si>
  <si>
    <t>ECONOMIC CODE</t>
  </si>
  <si>
    <t>PROJECT DISCRIPTION AND LOCATION</t>
  </si>
  <si>
    <t>ONDO STATE JUDICIARY</t>
  </si>
  <si>
    <t>GRAND TOTAL</t>
  </si>
  <si>
    <t>MIN./DEPT/AGENCY</t>
  </si>
  <si>
    <t>DETAILS</t>
  </si>
  <si>
    <t>DETAILS OF POOLED FUND UNDER CAPITAL</t>
  </si>
  <si>
    <t>PROJECT DISCRIPTION</t>
  </si>
  <si>
    <t>Economic Code</t>
  </si>
  <si>
    <t xml:space="preserve">Details </t>
  </si>
  <si>
    <t>Additional Provision</t>
  </si>
  <si>
    <t>TOTAL</t>
  </si>
  <si>
    <t>GOVERNOR'S OFFICE-GOVERNMENT HOUSE AND PROTOCOL</t>
  </si>
  <si>
    <t>AGRICULTURAL DEVELOPMENT PROGRAMME</t>
  </si>
  <si>
    <t>MINISTRY OF FINANCE</t>
  </si>
  <si>
    <t>STATE INFORMATION TECHNOLOGY AGENCY (SITA)</t>
  </si>
  <si>
    <t>ONDO STATE ELECTRICITY BOARD</t>
  </si>
  <si>
    <t>MINISTRY OF ECONOMIC PLANNING AND BUDGET</t>
  </si>
  <si>
    <t>ONDO STATE BUREAU OF STATISTICS</t>
  </si>
  <si>
    <t>MINISTRY OF LANDS AND HOUSING</t>
  </si>
  <si>
    <t>MINISTRY OF JUSTICE</t>
  </si>
  <si>
    <t>STATE UNIVERSAL BASIC EDUCATION BOARD (SUBEB) HEADQUARTERS</t>
  </si>
  <si>
    <t>MINISTRY OF HEALTH</t>
  </si>
  <si>
    <t>ONDO STATE SPORTS COUNCIL</t>
  </si>
  <si>
    <t>TOTAL POOLED FUND CAPITAL</t>
  </si>
  <si>
    <t>MIN./DEPT./AGENCY</t>
  </si>
  <si>
    <t>1</t>
  </si>
  <si>
    <t>2</t>
  </si>
  <si>
    <t>MINISTRY OF PHYSICAL PLANNING AND URBAN DEVELOPMENT</t>
  </si>
  <si>
    <t>052100100100</t>
  </si>
  <si>
    <t>PERSONNEL (N)</t>
  </si>
  <si>
    <t xml:space="preserve">REMARKS </t>
  </si>
  <si>
    <t>Remarks</t>
  </si>
  <si>
    <t>MINISTRY OF ENVIRONMENT</t>
  </si>
  <si>
    <t>REMARKS</t>
  </si>
  <si>
    <t>PERSONNEL DETAILS</t>
  </si>
  <si>
    <t>MINISTRY OF YOUTH AND SPORTS DEVELOPMENT</t>
  </si>
  <si>
    <t>OFFICE OF TRANSPORT</t>
  </si>
  <si>
    <t>MINISTRY OF NATURAL RESOURCES</t>
  </si>
  <si>
    <t>MINISTRY OF WORKS AND INFRASTRUCTURE</t>
  </si>
  <si>
    <t>052102600100</t>
  </si>
  <si>
    <t>Amount Deducted</t>
  </si>
  <si>
    <t>014000200100</t>
  </si>
  <si>
    <t>053505300100</t>
  </si>
  <si>
    <t>053905100100</t>
  </si>
  <si>
    <t>021500100100</t>
  </si>
  <si>
    <t>021511600100</t>
  </si>
  <si>
    <t>032600100100</t>
  </si>
  <si>
    <t>021511000100</t>
  </si>
  <si>
    <t>052100300100</t>
  </si>
  <si>
    <t>023400100100</t>
  </si>
  <si>
    <t>Ministry of Finance</t>
  </si>
  <si>
    <t>053500100100</t>
  </si>
  <si>
    <t>025200100100</t>
  </si>
  <si>
    <t>ONDO STATE UNIVERSITY OF MEDICAL SCIENCES TEACHING HOSPITAL</t>
  </si>
  <si>
    <t>051700100100</t>
  </si>
  <si>
    <t>031800100100</t>
  </si>
  <si>
    <t>Overhead Cost</t>
  </si>
  <si>
    <t>011100100100</t>
  </si>
  <si>
    <t>011100100200</t>
  </si>
  <si>
    <t>011100200100</t>
  </si>
  <si>
    <t>011100200300</t>
  </si>
  <si>
    <t>011100300100</t>
  </si>
  <si>
    <t>BUREAU OF PUBLIC PROCUREMENT (BPP)</t>
  </si>
  <si>
    <t>011101400100</t>
  </si>
  <si>
    <t>011101700100</t>
  </si>
  <si>
    <t>011103500100</t>
  </si>
  <si>
    <t>011103500200</t>
  </si>
  <si>
    <t>011103700100</t>
  </si>
  <si>
    <t>011103800100</t>
  </si>
  <si>
    <t>011104400100</t>
  </si>
  <si>
    <t>011113200100</t>
  </si>
  <si>
    <t>011200300100</t>
  </si>
  <si>
    <t>011200400100</t>
  </si>
  <si>
    <t>011200700200</t>
  </si>
  <si>
    <t>011202100100</t>
  </si>
  <si>
    <t>011202300100</t>
  </si>
  <si>
    <t>012300100100</t>
  </si>
  <si>
    <t>012300300100</t>
  </si>
  <si>
    <t>012300400200</t>
  </si>
  <si>
    <t>012305600100</t>
  </si>
  <si>
    <t>012400700100</t>
  </si>
  <si>
    <t>012500100100</t>
  </si>
  <si>
    <t>012500100300</t>
  </si>
  <si>
    <t>012500600100</t>
  </si>
  <si>
    <t>012500700100</t>
  </si>
  <si>
    <t>012500700200</t>
  </si>
  <si>
    <t>012500700300</t>
  </si>
  <si>
    <t>012500800100</t>
  </si>
  <si>
    <t>014000100100</t>
  </si>
  <si>
    <t>014700100100</t>
  </si>
  <si>
    <t>014800100100</t>
  </si>
  <si>
    <t>014800100200</t>
  </si>
  <si>
    <t>021502100100</t>
  </si>
  <si>
    <t>021510200100</t>
  </si>
  <si>
    <t>021510200200</t>
  </si>
  <si>
    <t>021511500100</t>
  </si>
  <si>
    <t>022000100100</t>
  </si>
  <si>
    <t>022000100200</t>
  </si>
  <si>
    <t>022000100400</t>
  </si>
  <si>
    <t>022000200100</t>
  </si>
  <si>
    <t>022000700100</t>
  </si>
  <si>
    <t>022200100100</t>
  </si>
  <si>
    <t>022200900100</t>
  </si>
  <si>
    <t>022205100100</t>
  </si>
  <si>
    <t>022800700100</t>
  </si>
  <si>
    <t>022800700200</t>
  </si>
  <si>
    <t>022900100100</t>
  </si>
  <si>
    <t>022905500100</t>
  </si>
  <si>
    <t>023100300100</t>
  </si>
  <si>
    <t>023305100200</t>
  </si>
  <si>
    <t>023405600100</t>
  </si>
  <si>
    <t>023600100100</t>
  </si>
  <si>
    <t>023800100100</t>
  </si>
  <si>
    <t>023800100200</t>
  </si>
  <si>
    <t>023800100300</t>
  </si>
  <si>
    <t>023800100500</t>
  </si>
  <si>
    <t>023800400100</t>
  </si>
  <si>
    <t>025210200100</t>
  </si>
  <si>
    <t>025210300100</t>
  </si>
  <si>
    <t>025305300100</t>
  </si>
  <si>
    <t>026000100100</t>
  </si>
  <si>
    <t>026300100100</t>
  </si>
  <si>
    <t>031801100100</t>
  </si>
  <si>
    <t>031801200100</t>
  </si>
  <si>
    <t>031801300100</t>
  </si>
  <si>
    <t>032600200100</t>
  </si>
  <si>
    <t>051300100100</t>
  </si>
  <si>
    <t>051300100200</t>
  </si>
  <si>
    <t>051400100100</t>
  </si>
  <si>
    <t>051400100200</t>
  </si>
  <si>
    <t>051700100200</t>
  </si>
  <si>
    <t>051700100300</t>
  </si>
  <si>
    <t>051700300100</t>
  </si>
  <si>
    <t>051700300200</t>
  </si>
  <si>
    <t>051700300300</t>
  </si>
  <si>
    <t>051700800100</t>
  </si>
  <si>
    <t>051705400100</t>
  </si>
  <si>
    <t>051705400200</t>
  </si>
  <si>
    <t>051705400300</t>
  </si>
  <si>
    <t>051705400400</t>
  </si>
  <si>
    <t>051705400500</t>
  </si>
  <si>
    <t>051705400600</t>
  </si>
  <si>
    <t>051705400700</t>
  </si>
  <si>
    <t>051705400800</t>
  </si>
  <si>
    <t>051705400900</t>
  </si>
  <si>
    <t>051705401000</t>
  </si>
  <si>
    <t>051705600100</t>
  </si>
  <si>
    <t>052110200100</t>
  </si>
  <si>
    <t>052110300100</t>
  </si>
  <si>
    <t>052110600100</t>
  </si>
  <si>
    <t>052111500100</t>
  </si>
  <si>
    <t>052111600100</t>
  </si>
  <si>
    <t>053500100200</t>
  </si>
  <si>
    <t>011100800100</t>
  </si>
  <si>
    <t>012305500100</t>
  </si>
  <si>
    <t>051701800100</t>
  </si>
  <si>
    <t>051702100100</t>
  </si>
  <si>
    <t>051702100200</t>
  </si>
  <si>
    <t>051702100300</t>
  </si>
  <si>
    <t>011105200100</t>
  </si>
  <si>
    <t>Total Recurrent Expenditure Allocation (Re-allocation)</t>
  </si>
  <si>
    <t>Total Capital Allocation (Re-allocation)</t>
  </si>
  <si>
    <t>Total Pooled Funds (Recurrent)</t>
  </si>
  <si>
    <t>Total Allocation of Fund (Recurrent and Capital)</t>
  </si>
  <si>
    <t>Total Pooled Fund (Recurrent and Capital)</t>
  </si>
  <si>
    <t>SUMMARY OF POOLED AND ALLOCATION OF FUNDS</t>
  </si>
  <si>
    <t>052111700100</t>
  </si>
  <si>
    <t>Balance</t>
  </si>
  <si>
    <t>TOTAL: ONDO STATE SPORTS COUNCIL</t>
  </si>
  <si>
    <t>ONDO STATE ENTREPRENEURSHIP AGENCY (ONDEA)</t>
  </si>
  <si>
    <t>012400400300</t>
  </si>
  <si>
    <t>ONDO STATE SECURITY NETWORK AGENCY (AMOTEKUN CORPS)</t>
  </si>
  <si>
    <t>OLUSEGUN AGAGU UNIVERSITY OF SCIENCE AND TECHNOLOGY, OKITIPUPA</t>
  </si>
  <si>
    <t>022205700100</t>
  </si>
  <si>
    <t>SUMMARY OF ALLOCATION OF FUND</t>
  </si>
  <si>
    <t>052100200100</t>
  </si>
  <si>
    <t>021511700100</t>
  </si>
  <si>
    <t>022000900100</t>
  </si>
  <si>
    <t>021500100300</t>
  </si>
  <si>
    <t>022000100500</t>
  </si>
  <si>
    <t>022000700200</t>
  </si>
  <si>
    <t>022205600100</t>
  </si>
  <si>
    <t>023800100700</t>
  </si>
  <si>
    <t>023800100800</t>
  </si>
  <si>
    <t>026300100200</t>
  </si>
  <si>
    <t>051705500100</t>
  </si>
  <si>
    <t>052100100200</t>
  </si>
  <si>
    <t>014900100200</t>
  </si>
  <si>
    <t>023400200100</t>
  </si>
  <si>
    <t>052100100300</t>
  </si>
  <si>
    <t>023100400100</t>
  </si>
  <si>
    <t>Sub-Total:</t>
  </si>
  <si>
    <t>ADJUSTMENTS (N)</t>
  </si>
  <si>
    <t>ECONOMIC SEGMENT</t>
  </si>
  <si>
    <t>STATUTORY ALLOCATION</t>
  </si>
  <si>
    <t>MINERAL DERIVATION</t>
  </si>
  <si>
    <t>SHARE OF VAT</t>
  </si>
  <si>
    <t>EXCESS CRUDE</t>
  </si>
  <si>
    <t>REFUND ON EXCESS CRUDE</t>
  </si>
  <si>
    <t>012500700400</t>
  </si>
  <si>
    <t>ONDO STATE OF NIGERIA, ESTIMATES 2022</t>
  </si>
  <si>
    <t>Approved Estimates 2022 (N)</t>
  </si>
  <si>
    <t>OVERHEAD COST</t>
  </si>
  <si>
    <t>LOCAL TRAVEL &amp; TRANSPORT: OTHERS</t>
  </si>
  <si>
    <t>ELECTRICITY CHARGES</t>
  </si>
  <si>
    <t>TELEPHONE CHARGES</t>
  </si>
  <si>
    <t>INTERNET ACCESS CHARGES</t>
  </si>
  <si>
    <t>OFFICE STATIONERIES/COMPUTER CONSUMABLES</t>
  </si>
  <si>
    <t>PRINTING OF SECURITY DOCUMENTS</t>
  </si>
  <si>
    <t>MAINTENANCE OF MOTOR VEHICLE/TRANSPORT EQUIPMENT</t>
  </si>
  <si>
    <t>MAINTENANCE OF OFFICE FURNITURE</t>
  </si>
  <si>
    <t>OTHER MAINTENANCE SERVICES</t>
  </si>
  <si>
    <t>LOCAL TRAINING</t>
  </si>
  <si>
    <t>SECURITY SERVICES</t>
  </si>
  <si>
    <t>MEDIA RELATION SERVICES</t>
  </si>
  <si>
    <t>MOTOR VEHICLE FUEL COST</t>
  </si>
  <si>
    <t>REFRESHMENT &amp; MEALS</t>
  </si>
  <si>
    <t>WELFARE PACKAGES</t>
  </si>
  <si>
    <t>Monitoring and Evaluation</t>
  </si>
  <si>
    <t>SOFTWARE CHARGES/ LICENCE RENEWAL</t>
  </si>
  <si>
    <t>PRINTING OF NON SECURITY DOCUMENTS</t>
  </si>
  <si>
    <t>PRODUCTION, PUBLICATION AND CIRCULATION OF ANNUAL FINANCIAL STATEMENTS</t>
  </si>
  <si>
    <t>MAINTENANCE OF OFFICE / IT EQUIPMENTS</t>
  </si>
  <si>
    <t>CONFERENCES/SEMINARS &amp; WORKSHOP-LOCAL</t>
  </si>
  <si>
    <t>MANAGEMENT COURSES AT PUBLIC SERVICE TRAINING INSTITUTE(PSTI)</t>
  </si>
  <si>
    <t>CLEANING &amp; FUMIGATION SERVICES</t>
  </si>
  <si>
    <t>PLANT / GENERATOR FUEL COST</t>
  </si>
  <si>
    <t>Additional</t>
  </si>
  <si>
    <t>MAGAZINES &amp; PERIODICALS</t>
  </si>
  <si>
    <t>OTHER CONSULTING SERVICES</t>
  </si>
  <si>
    <t>HONORARIUM &amp; SITTING ALLOWANCE</t>
  </si>
  <si>
    <t>011101000100</t>
  </si>
  <si>
    <t>Completion ODBPP Building Project</t>
  </si>
  <si>
    <t>Development Partners Related Support Programmes</t>
  </si>
  <si>
    <t>MAINTENANCE OF OFFICE BUILDING / RESIDENTIAL QTRS</t>
  </si>
  <si>
    <t>MAINTENANCE OF PLANTS/GENERATORS</t>
  </si>
  <si>
    <t>SUBSCRIPTION TO PROFESSIONAL BODIES</t>
  </si>
  <si>
    <t>PLANT/GENERATOR FUEL COST</t>
  </si>
  <si>
    <t>SECURITY VOTE (INCLUDING OPERATIONS)</t>
  </si>
  <si>
    <t>SPECIAL DAYS/CELEBRATIONS</t>
  </si>
  <si>
    <t>090053501048</t>
  </si>
  <si>
    <t>Resuscitation of Community Based Flood Early Warning signal Station Units: Ikare Akoko, Owena Elesin, Akure and installation of one at Ile-Oluji</t>
  </si>
  <si>
    <t>090053501062</t>
  </si>
  <si>
    <t>Mechanical/Manual Channelization/Clearing of Water Hyacinth/Weed across the State and Purchase of Water Hyacinth Harvester</t>
  </si>
  <si>
    <t>TOTAL: MINISTRY OF ENVIRONMENT</t>
  </si>
  <si>
    <t>AGRICULTURAL CONSULTING</t>
  </si>
  <si>
    <t>PUBLICITY &amp; ADVERTISEMENTS</t>
  </si>
  <si>
    <t>INTERNATIONAL TRAVEL &amp; TRANSPORT: OTHERS</t>
  </si>
  <si>
    <t>INTERACTIVE LEARNING NETWORK</t>
  </si>
  <si>
    <t>MAINTENANCE OF GOVERNMENT BUILDINGS</t>
  </si>
  <si>
    <t>OFFICE RENT</t>
  </si>
  <si>
    <t>FINANCIAL CONSULTING</t>
  </si>
  <si>
    <t>INSURANCE PREMIUM</t>
  </si>
  <si>
    <t>CONTINGENCY</t>
  </si>
  <si>
    <t>BANK CHARGES (OTHER THAN INTEREST)</t>
  </si>
  <si>
    <t>SPORTING ACTIVITIES</t>
  </si>
  <si>
    <t>INTERNATIONAL TRAINING</t>
  </si>
  <si>
    <t>Ministry of Youth and Sports Development</t>
  </si>
  <si>
    <t>080051301010</t>
  </si>
  <si>
    <t>Purchase of Furniture and Fittings for offices: Window Blind</t>
  </si>
  <si>
    <t>Creation of Portal and Maintenance of Website for the Ministry</t>
  </si>
  <si>
    <t>Football Clinic</t>
  </si>
  <si>
    <t>TOTAL: MINISTRY OF YOUTH AND SPORTS DEVELOPMENT</t>
  </si>
  <si>
    <t>NEWSPAPERS</t>
  </si>
  <si>
    <t>INFORMATION TECHNOLOGY CONSULTING</t>
  </si>
  <si>
    <t>GRANTS TO GOVERNMENT OWNED AGENCIES/COMPANIES - CURRENT</t>
  </si>
  <si>
    <t>CONFERENCES/SEMINARS &amp; WORKSHOP-INTERNATIONAL</t>
  </si>
  <si>
    <t>110022801037</t>
  </si>
  <si>
    <t>Purchase of 2,000 Nisca YMCFK UV Ribbon for PR 5350 @ rate of 23,400 and 500 Nisca Laminating Thinfilm at @ 20,880</t>
  </si>
  <si>
    <t>110022801040</t>
  </si>
  <si>
    <t>Procurement of Hardware</t>
  </si>
  <si>
    <t>110022801051</t>
  </si>
  <si>
    <t>Procurement of Laptops computers (5 sets)</t>
  </si>
  <si>
    <t>110022801054</t>
  </si>
  <si>
    <t>POSTAGES &amp; COURIER SERVICES</t>
  </si>
  <si>
    <t>LOCAL TRAVEL &amp; TRANSPORT: TRAINING</t>
  </si>
  <si>
    <t>HOTEL ACCOMMODATION</t>
  </si>
  <si>
    <t>OFFICE OF THE DEPUTY GOVERNOR</t>
  </si>
  <si>
    <t>TOTAL: OFFICE OF THE DEPUTY GOVERNOR</t>
  </si>
  <si>
    <t>4.5 KVA Sound Proof Mantrac Caterpiller Generator with kits and Installation</t>
  </si>
  <si>
    <t>Purchase of 2.5 HP Treadmill</t>
  </si>
  <si>
    <t>Purchase of Buterfly Table Tennis</t>
  </si>
  <si>
    <t>Office of the Deputy Governor</t>
  </si>
  <si>
    <t>Ondo State Pension Commission (OSPEC)</t>
  </si>
  <si>
    <t>Orange FM</t>
  </si>
  <si>
    <t>Ondo State Security Network Agency (AMOTEKIN CORPS)</t>
  </si>
  <si>
    <t>Ondo State Rural Access and Mobility Marketing Project (RAAMP)</t>
  </si>
  <si>
    <t>Ministry of Water Resources, Public Sanitation and Hygiene</t>
  </si>
  <si>
    <t>Primary Healthcare Management Board</t>
  </si>
  <si>
    <t>Ministry of Environment</t>
  </si>
  <si>
    <t>State Information Technology Agency (SITA)</t>
  </si>
  <si>
    <t>Agricultural Inputs Supply Agency</t>
  </si>
  <si>
    <t>Ondo State Bureau of Public Procurementt (ODBPP)</t>
  </si>
  <si>
    <t>ONDO STATE BUREAU OF PUBLIC PROCUREMENT (OBPP)</t>
  </si>
  <si>
    <t>TOTAL: ONDO STATE BUREAU OF PUBLIC PROCUREMENT (OBPP)</t>
  </si>
  <si>
    <t>DRUGS/LABORATORY/MEDICAL SUPPLIES</t>
  </si>
  <si>
    <t>FOOD STUFF / CATERING MATERIALS SUPPLIES</t>
  </si>
  <si>
    <t>MAINTENANCE OF SEA BOATS</t>
  </si>
  <si>
    <t>Governor's Office-Government House and Protocol</t>
  </si>
  <si>
    <t>Production of Compendium of Laws/Resolutions/White Papers Etc</t>
  </si>
  <si>
    <t>DISCIPLINE AND APPOINTMENT (SERVICE WIDE)</t>
  </si>
  <si>
    <t>CONFLICT/DISPUTE MANAGEMENT</t>
  </si>
  <si>
    <t>TOTAL: STATE INFORMATION TECHNOLOGY AGENCY (SITA)</t>
  </si>
  <si>
    <t>TOTAL: MINISTRY OF LANDS AND HOUSING</t>
  </si>
  <si>
    <t>060026001017</t>
  </si>
  <si>
    <t>Upgrading and Maintenance of Public Building including Legislators' Quarters</t>
  </si>
  <si>
    <t>060026001026</t>
  </si>
  <si>
    <t>060026001019</t>
  </si>
  <si>
    <t>Capacity Building and Manpower Development</t>
  </si>
  <si>
    <t>Construction of New Governor and Deputy Governor Lodge</t>
  </si>
  <si>
    <t>Ministry of Lands and Housing</t>
  </si>
  <si>
    <t>Ministry of Local Government and Chieftaincy Affairs</t>
  </si>
  <si>
    <t>Summits</t>
  </si>
  <si>
    <t>TOTAL: MINISTRY OF HEALTH</t>
  </si>
  <si>
    <t>Maintenance of Motor Vehicle/Transport Equipment</t>
  </si>
  <si>
    <t>Welfare Packages</t>
  </si>
  <si>
    <t>Internet Access Charges</t>
  </si>
  <si>
    <t>Other Consulting Services</t>
  </si>
  <si>
    <t>Security Services</t>
  </si>
  <si>
    <t>TOTAL: MINISTRY OF NATURAL RESOURCES</t>
  </si>
  <si>
    <t>TOTAL: MINISTRY OF ECONOMIC PLANNING AND BUDGET</t>
  </si>
  <si>
    <t>TOTAL: OFFICE OF TRANSPORT</t>
  </si>
  <si>
    <t>DETAILS OF POOLED FUND UNDER OVERHEAD COST</t>
  </si>
  <si>
    <t>TOTAL: ONDO STATE BUREAU OF STATISTICS</t>
  </si>
  <si>
    <t>130023801009</t>
  </si>
  <si>
    <t>Survey, Research and Development in Collaboration with PPIMU</t>
  </si>
  <si>
    <t>Deduction</t>
  </si>
  <si>
    <t>040052101043</t>
  </si>
  <si>
    <t>Establishment of Drug and Health Commodities Agency</t>
  </si>
  <si>
    <t>Mineral Mapping Studies</t>
  </si>
  <si>
    <t>090053501090</t>
  </si>
  <si>
    <t>130023801005</t>
  </si>
  <si>
    <t>Home Grown Plan, Strategic Plans, LGDPs and CDPs</t>
  </si>
  <si>
    <t>Special Intervention fund for Human Capital Development</t>
  </si>
  <si>
    <t>130023801015</t>
  </si>
  <si>
    <t>MINISTRY OF ENERGY MINES AND MINERAL RESOURCES</t>
  </si>
  <si>
    <t>140023101059</t>
  </si>
  <si>
    <t>Energy Summit</t>
  </si>
  <si>
    <t>140023101063</t>
  </si>
  <si>
    <t>Renovation of Bitumen House (General Renovation and Landscaping)</t>
  </si>
  <si>
    <t>140023101077</t>
  </si>
  <si>
    <t>TOTAL: MINISTRY OF ENERGY MINES AND MINERAL RESOURCES</t>
  </si>
  <si>
    <t>Completion of OBA's House</t>
  </si>
  <si>
    <t>060026001025</t>
  </si>
  <si>
    <t>TOTAL: STATE UNIVERSAL BASIC EDUCATION BOARD (SUBEB) HEADQUARTERS</t>
  </si>
  <si>
    <t>Project Management Consultants by State Government</t>
  </si>
  <si>
    <t>050051701012</t>
  </si>
  <si>
    <t>ADEKUNLE AJASIN UNIVERSITY, AKUGBA AKOKO</t>
  </si>
  <si>
    <t>050051701016</t>
  </si>
  <si>
    <t>Asphalt Laying of Ceremonial Road Serving the Senate Building</t>
  </si>
  <si>
    <t>Building of new High Court Complex</t>
  </si>
  <si>
    <t>0200318101030</t>
  </si>
  <si>
    <t>TOTAL: ONDO STATE JUDICIARY</t>
  </si>
  <si>
    <t>TOTAL: ONDO STATE ELECTRICITY BOARD</t>
  </si>
  <si>
    <t>Electrification Projects and Strengthening of existing Network across the State(URBAN)</t>
  </si>
  <si>
    <t>140023101009</t>
  </si>
  <si>
    <t>30022201024</t>
  </si>
  <si>
    <t>Entrepreneurs Cycle Fund (Loans to Entrepreneurs in the 18 LGAs</t>
  </si>
  <si>
    <t>Grants to Entrepreneurs in the 18 Local Government Areas</t>
  </si>
  <si>
    <t>030022201025</t>
  </si>
  <si>
    <t>TOTAL: ONDO STATE ENTREPRENEURSHIP AGENCY (ONDEA)</t>
  </si>
  <si>
    <t>Development and Management of Ondo State Free Trade Zone</t>
  </si>
  <si>
    <t>130022201019</t>
  </si>
  <si>
    <t>Establishment/Management of Deep Sea Port</t>
  </si>
  <si>
    <t>130022201022</t>
  </si>
  <si>
    <t>Agricultural Transformation Initiative</t>
  </si>
  <si>
    <t>TOTAL: AGRICULTURAL DEVELOPMENT PROGRAMME</t>
  </si>
  <si>
    <t>010021501054</t>
  </si>
  <si>
    <t>Upgrading and Maintenance of Akure and Other Stadia</t>
  </si>
  <si>
    <t>080053901007</t>
  </si>
  <si>
    <t>Healthcare for Vulnerable Group</t>
  </si>
  <si>
    <t>040052101025</t>
  </si>
  <si>
    <t>Re-imbursement to PHCs and Hospitals</t>
  </si>
  <si>
    <t>040052101028</t>
  </si>
  <si>
    <t>Construction of New Office Complex</t>
  </si>
  <si>
    <t>040052101029</t>
  </si>
  <si>
    <t>TOTAL: CONTRIBUTION HEALTH COMMISSION</t>
  </si>
  <si>
    <t>Farming Out of Cases</t>
  </si>
  <si>
    <t>130032601011</t>
  </si>
  <si>
    <t>Judgements Debt</t>
  </si>
  <si>
    <t>130032601017</t>
  </si>
  <si>
    <t>TOTAL: MINISTRY OF JUSTICE</t>
  </si>
  <si>
    <t>Construction of Engineering Workshop</t>
  </si>
  <si>
    <t>050051701018</t>
  </si>
  <si>
    <t>TOTAL: OLUSEGUN AGAGU UNIVERSITY OF SCIENCE AND TECHNOLOGY, OKITIPUPA</t>
  </si>
  <si>
    <t>TOTAL: BUREAU OF PUBLIC PROCUREMENT (BPP)</t>
  </si>
  <si>
    <t>SFTAS DLI 6.2 SME Projects</t>
  </si>
  <si>
    <t>060026301021</t>
  </si>
  <si>
    <t>Capacity Building/Participation in Professional Conferences and Training</t>
  </si>
  <si>
    <t>TOTAL: MINISTRY OF PHYSICAL PLANNING AND URBAN DEVELOPMENT</t>
  </si>
  <si>
    <t>060026301015</t>
  </si>
  <si>
    <t>Urban Development Control, Enforcement and other Activities</t>
  </si>
  <si>
    <t>UN-Habitat Support Programme (GCC)</t>
  </si>
  <si>
    <t>110022801039</t>
  </si>
  <si>
    <t>General I. T. Infrastructure Management</t>
  </si>
  <si>
    <t>Establishment of Tech Hub at Okitipupa</t>
  </si>
  <si>
    <t>General Administration</t>
  </si>
  <si>
    <t>Ondo State Public Service Training Institute (PSTI)</t>
  </si>
  <si>
    <t>AUDITING OF ACCOUNTS</t>
  </si>
  <si>
    <t>016100100200</t>
  </si>
  <si>
    <t>GENERAL ADMINISTRATION DEPARTMENT</t>
  </si>
  <si>
    <t>130016101011</t>
  </si>
  <si>
    <t>Refurbishment of Vehicles</t>
  </si>
  <si>
    <t>130016101012</t>
  </si>
  <si>
    <t>Purchase/Acquisition of Vehicles and others</t>
  </si>
  <si>
    <t>TOTAL: GENERAL ADMINISTRATION DEPARTMENT</t>
  </si>
  <si>
    <t>Cabinet and Special Services Department</t>
  </si>
  <si>
    <t>TOTAL: MINISTRY OF FINANCE</t>
  </si>
  <si>
    <t>130022001033</t>
  </si>
  <si>
    <t>Accessing SFTAS Grant through revenue and other Financial Services Reform</t>
  </si>
  <si>
    <t>Contingency &amp; Additional</t>
  </si>
  <si>
    <t>090053501050</t>
  </si>
  <si>
    <t>ii). Development and Rehabilitation of Parks, Gardens, Recreational Spots and Public Open Spaces</t>
  </si>
  <si>
    <t>090053501051</t>
  </si>
  <si>
    <t>iii). Cities/Towns Beautification Works and Aesthetics Enhancement</t>
  </si>
  <si>
    <t>TOTAL: ONDO STATE UNIVERSITY OF MEDICAL SCIENCES TEACHING HOSPITAL</t>
  </si>
  <si>
    <t>Millenium Eye Centre Project (GCC)</t>
  </si>
  <si>
    <t>Contingency</t>
  </si>
  <si>
    <t>General Administration Department</t>
  </si>
  <si>
    <t>Ministry of Physical Planning and Urban Development</t>
  </si>
  <si>
    <t>023100100100</t>
  </si>
  <si>
    <t>MINISTRY OF ENERGY, MINES AND MINERAL RESOURCES</t>
  </si>
  <si>
    <t>140023101052</t>
  </si>
  <si>
    <t>Website Development/Hosting</t>
  </si>
  <si>
    <t>140023101050</t>
  </si>
  <si>
    <t>Alternative Energy 2X10KW (Scalable)/Procurement of Electrical Tools/Needs Assesment for both Convetional and Renewable Energy Access to the 3 Senatorial District in the State</t>
  </si>
  <si>
    <t>140023101047</t>
  </si>
  <si>
    <t>140023101072</t>
  </si>
  <si>
    <t>Capacity Building/Research and Development of Renewable Energy e.g. Bio Energy, Green Hydrogen, etc/Preparation and Review of Laws, Regulations, etc/</t>
  </si>
  <si>
    <t>Community Engagement on Bitumen Activities/Bitumen Sample Pilot Research</t>
  </si>
  <si>
    <t>Monitoring and Visit to all Mining Sites including MINRECO Activities</t>
  </si>
  <si>
    <t>140023101061</t>
  </si>
  <si>
    <t>Constitution of of Energy and Mining Survellance Task Force</t>
  </si>
  <si>
    <t>Public Advocacy/Sensitization</t>
  </si>
  <si>
    <t>140023101058</t>
  </si>
  <si>
    <t>140023101057</t>
  </si>
  <si>
    <t>Foreign Trips</t>
  </si>
  <si>
    <t>Organization of Summit for Oil producing Communities of Ondo State in Ilaje and Ese-Odo LGAs</t>
  </si>
  <si>
    <t>140023101073</t>
  </si>
  <si>
    <t>Establishment of Mineral Display Centre/Research Laboratory</t>
  </si>
  <si>
    <t>140023101069</t>
  </si>
  <si>
    <t>Reclamation of degraded Mines Sites</t>
  </si>
  <si>
    <t>140023101067</t>
  </si>
  <si>
    <t>Minerals Investigation/Exploration</t>
  </si>
  <si>
    <t>140023101070</t>
  </si>
  <si>
    <t>Joint Assessment/Investigation of Stakeholders to Oil well Facilities in Ondo State</t>
  </si>
  <si>
    <t>140023101074</t>
  </si>
  <si>
    <t>TOTAL: MINISTRY OF ENERGY, MINES AND MINERAL RESOURCES</t>
  </si>
  <si>
    <t xml:space="preserve">Ministry of Energy, Mines and Mineral Resources </t>
  </si>
  <si>
    <t>Ondo State University of Medical Sciences Teaching Hospital (UNIMEDTH)</t>
  </si>
  <si>
    <t>Provision of Security Hardware</t>
  </si>
  <si>
    <t>Contingency/Additional</t>
  </si>
  <si>
    <t>SERVICOM INCIDENTAL COSTS</t>
  </si>
  <si>
    <t>130011101012</t>
  </si>
  <si>
    <t>060026301020</t>
  </si>
  <si>
    <t>APPROVED ESTIMATES 2022 (N)</t>
  </si>
  <si>
    <t>AMOUNT DEDUCTED (N)</t>
  </si>
  <si>
    <t xml:space="preserve">ADITIONAL PROVISION (N)       </t>
  </si>
  <si>
    <t>Maintenance of River Courses across the State</t>
  </si>
  <si>
    <t>Provision of Security equipments</t>
  </si>
  <si>
    <t>050012401014</t>
  </si>
  <si>
    <t>Compensation on Government Acquired Lands</t>
  </si>
  <si>
    <t>130022001039</t>
  </si>
  <si>
    <t>Ondo GIS Project</t>
  </si>
  <si>
    <t>Ondo State Security Network Agency (AMOTEKUN CORPS)</t>
  </si>
  <si>
    <t>03130011101009</t>
  </si>
  <si>
    <t>Procurement of File Cabinet</t>
  </si>
  <si>
    <t>Procurement of UPS, Extension Box and Accessories</t>
  </si>
  <si>
    <t>Procurement of Table</t>
  </si>
  <si>
    <t>Procurement of Chair</t>
  </si>
  <si>
    <t>Procurement of Fridge</t>
  </si>
  <si>
    <t>Procurement of Air Conditioner</t>
  </si>
  <si>
    <t>Partitioning of Office</t>
  </si>
  <si>
    <t>Internet Facility</t>
  </si>
  <si>
    <t>Intercom Facility</t>
  </si>
  <si>
    <t>Procurement of Projector</t>
  </si>
  <si>
    <t>Procurement of Computer Scanner</t>
  </si>
  <si>
    <t>Procurement of Photocopier Machine</t>
  </si>
  <si>
    <t>Installation of CCTV</t>
  </si>
  <si>
    <t>Procurement of Window Blind</t>
  </si>
  <si>
    <t>Procurement of TV and DSTV</t>
  </si>
  <si>
    <t>Procurement of Kitchen Utensils and Accessories</t>
  </si>
  <si>
    <t>05130011101009</t>
  </si>
  <si>
    <t>04130000001009</t>
  </si>
  <si>
    <t>04130011101010</t>
  </si>
  <si>
    <t>05130011101010</t>
  </si>
  <si>
    <t>06130011101010</t>
  </si>
  <si>
    <t>02130011101030</t>
  </si>
  <si>
    <t>00130011101030</t>
  </si>
  <si>
    <t>01130011101030</t>
  </si>
  <si>
    <t>03130011101030</t>
  </si>
  <si>
    <t>00130011101025</t>
  </si>
  <si>
    <t>01130011101025</t>
  </si>
  <si>
    <t>02130011101025</t>
  </si>
  <si>
    <t>00130011101026</t>
  </si>
  <si>
    <t>01130011101026</t>
  </si>
  <si>
    <t>MAINTENANCE OF MARKETS/PUBLIC PLACES</t>
  </si>
  <si>
    <t>Ondo State Waste Management Authority</t>
  </si>
  <si>
    <t>Ministry of Works and Infrastructure</t>
  </si>
  <si>
    <t>170023401063</t>
  </si>
  <si>
    <t>Rehabilitation/Construction of State Highways</t>
  </si>
  <si>
    <t>TOTAL: MINISTRY OF WORKS AND INFRASTRUCTURE</t>
  </si>
  <si>
    <t>053501600100</t>
  </si>
  <si>
    <t>00090053516101</t>
  </si>
  <si>
    <t>00090053516102</t>
  </si>
  <si>
    <t>Capacity Building</t>
  </si>
  <si>
    <t>Procurement of Safety Materials and Personal Protective Equipments (PPE)</t>
  </si>
  <si>
    <t>00090053516103</t>
  </si>
  <si>
    <t>Purchase of Computer and Other Equipment</t>
  </si>
  <si>
    <t>00090053516104</t>
  </si>
  <si>
    <t>Development of Website</t>
  </si>
  <si>
    <t>Management of Plastic Waste</t>
  </si>
  <si>
    <t>00090053516105</t>
  </si>
  <si>
    <t>ANNUAL BUDGET EXPENSES &amp; ADMINISTRATION</t>
  </si>
  <si>
    <t>011100201300</t>
  </si>
  <si>
    <t>00011102013001</t>
  </si>
  <si>
    <t>00130023801019</t>
  </si>
  <si>
    <t>Ondo CARES Project</t>
  </si>
  <si>
    <t>001130011101027</t>
  </si>
  <si>
    <t>03130011101014</t>
  </si>
  <si>
    <t>03130011101012</t>
  </si>
  <si>
    <t>Office of Special Adviser on Education</t>
  </si>
  <si>
    <t>Department of Public Service Reform and Development (DPSRD)</t>
  </si>
  <si>
    <t>Ministry of Economic Planning and Budget</t>
  </si>
  <si>
    <t>FAAC SPECIAL ALLOCATIONS</t>
  </si>
  <si>
    <t>FOREIGN INTEREST / DISCOUNT - TREASURY BILL</t>
  </si>
  <si>
    <t>DOMESTIC INTEREST / DISCOUNT - TREASURY BILL</t>
  </si>
  <si>
    <t>FOREIGN PRINCIPAL - TREASURY BILL</t>
  </si>
  <si>
    <t>DOMESTIC PRINCIPAL - TREASURY BILL</t>
  </si>
  <si>
    <t>Debt Management Office</t>
  </si>
  <si>
    <t>TOTAL: GOVERNOR'S OFFICE-GOVERNMENT HOUSE AND PROTOCOL</t>
  </si>
  <si>
    <t>130011101005</t>
  </si>
  <si>
    <t>Refurbishment/Maintenance of Government House</t>
  </si>
  <si>
    <t>00130011101015</t>
  </si>
  <si>
    <t>00130011101016</t>
  </si>
  <si>
    <t>00130011101017</t>
  </si>
  <si>
    <t>02140023101068</t>
  </si>
  <si>
    <t>080051301022</t>
  </si>
  <si>
    <t>080051301023</t>
  </si>
  <si>
    <t>040052101046</t>
  </si>
  <si>
    <t>060026001028</t>
  </si>
  <si>
    <t>060026001029</t>
  </si>
  <si>
    <t>FOOD STUFF/CATERING MATERIALS SUPPLIES</t>
  </si>
  <si>
    <t>ONDO STATE PENSION COMMISSION (OSPEC)</t>
  </si>
  <si>
    <t>Group Life Insurance</t>
  </si>
  <si>
    <t>Gratuity</t>
  </si>
  <si>
    <t>TOTAL: ONDO STATE PENSION COMMISSION (OSPEC)</t>
  </si>
  <si>
    <t>011100200700</t>
  </si>
  <si>
    <t>011100201200</t>
  </si>
  <si>
    <t>Ondo State Boundary Commission</t>
  </si>
  <si>
    <t>011110100100</t>
  </si>
  <si>
    <t>011110500100</t>
  </si>
  <si>
    <t>011111300200</t>
  </si>
  <si>
    <t>011111300400</t>
  </si>
  <si>
    <t>016100100100</t>
  </si>
  <si>
    <t>016100200100</t>
  </si>
  <si>
    <t>016100200200</t>
  </si>
  <si>
    <t>011200700100</t>
  </si>
  <si>
    <t>Owena Press</t>
  </si>
  <si>
    <t>021500100400</t>
  </si>
  <si>
    <t>022000100600</t>
  </si>
  <si>
    <t>Office of the Accountant General</t>
  </si>
  <si>
    <t>Ministry of Commerce, Industries and Cooperatives</t>
  </si>
  <si>
    <t>Micro Credit Agency</t>
  </si>
  <si>
    <t>Ondo State Electricity Board</t>
  </si>
  <si>
    <t>023300100100</t>
  </si>
  <si>
    <t>023800100900</t>
  </si>
  <si>
    <t>026400100100</t>
  </si>
  <si>
    <t>031800700100</t>
  </si>
  <si>
    <t>031800700200</t>
  </si>
  <si>
    <t>031801400100</t>
  </si>
  <si>
    <t>032600700100</t>
  </si>
  <si>
    <t>045102100100</t>
  </si>
  <si>
    <t>Ministry of Women Affairs and Social Development</t>
  </si>
  <si>
    <t>051400100300</t>
  </si>
  <si>
    <t>051405400200</t>
  </si>
  <si>
    <t>055700100200</t>
  </si>
  <si>
    <t>055700200100</t>
  </si>
  <si>
    <t>055800100100</t>
  </si>
  <si>
    <t>Purchase of 4 Nos. of Toyota Hilux</t>
  </si>
  <si>
    <t>STATE INFORMATION DEVELOPMENT AGENCY (SITA)</t>
  </si>
  <si>
    <t>Clearance of Salary Arrears</t>
  </si>
  <si>
    <t>CONTRIBUTORY HEALTH COMMISSION</t>
  </si>
  <si>
    <t>College of Health Technology</t>
  </si>
  <si>
    <t>Ondo State Muslim Welfare Board</t>
  </si>
  <si>
    <t>050051701010</t>
  </si>
  <si>
    <t>Procurement of of Geely Coolray SUV for the CMD at N22.5m, Emgrand EC7 Sedan for CMD and DA at N13.5 Double Cabin, Maxus T60 Pick-up for PICs Ondo and Akure Complexes at N16m</t>
  </si>
  <si>
    <t>ONDO STATE INVESTMENT PROMOTION AGENCY (ONDIPA)</t>
  </si>
  <si>
    <t>TOTAL: ONDO STATE INVESTMENT PROMOTION AGENCY (ONDIPA)</t>
  </si>
  <si>
    <t>OWENA PRESS</t>
  </si>
  <si>
    <t>Grants to Government Owned Agencies/Companies - CURRENT</t>
  </si>
  <si>
    <t>TOTAL: OWENA PRESS</t>
  </si>
  <si>
    <t>PROMOTION (SERVICE WIDE)</t>
  </si>
  <si>
    <t>COMPULSORY / CONFIRMATION/CONVERSION EXAMINATION /INTERVIEW</t>
  </si>
  <si>
    <t>Quality Assurance Services</t>
  </si>
  <si>
    <t xml:space="preserve">06130023801001	</t>
  </si>
  <si>
    <t>Budget Reform in SFTAS Programme</t>
  </si>
  <si>
    <t>ONDO STATE ENVIRONMENTAL PROTECTION AGENCY (OSEPA)</t>
  </si>
  <si>
    <t>TOTAL: ONDO STATE ENVIRONMENTAL PROTECTION AGENCY (OSEPA)</t>
  </si>
  <si>
    <t>Ondo State Environmental Protection Agency (OSEPA)</t>
  </si>
  <si>
    <t>110022801042</t>
  </si>
  <si>
    <t>11113200100</t>
  </si>
  <si>
    <t>Inter-Governmental Affairs and Multilateral Relations</t>
  </si>
  <si>
    <t>INTER-GOVERNMENTAL AFFAIRS AND MUILTILATERAL RELATIONS</t>
  </si>
  <si>
    <t>TOTAL: INTER-GOVERNMENTAL AFFAIRS AND MUILTILATERAL RELATIONS</t>
  </si>
  <si>
    <t>Capacity Building/Annual Review Conference for Focal Officers</t>
  </si>
  <si>
    <t>030011101026</t>
  </si>
  <si>
    <t>State Support for Social Security Programmes</t>
  </si>
  <si>
    <t>030011101027</t>
  </si>
  <si>
    <r>
      <rPr>
        <b/>
        <sz val="9"/>
        <color theme="1"/>
        <rFont val="Times New Roman"/>
        <family val="1"/>
      </rPr>
      <t>ADMIN CODE: 011100100100:</t>
    </r>
    <r>
      <rPr>
        <sz val="9"/>
        <color theme="1"/>
        <rFont val="Times New Roman"/>
        <family val="1"/>
      </rPr>
      <t xml:space="preserve"> GOVERNOR'S OFFICE-GOVERNMENT HOUSE AND PROTOCOL</t>
    </r>
  </si>
  <si>
    <r>
      <t xml:space="preserve">ACCOUNTING OFFICER: </t>
    </r>
    <r>
      <rPr>
        <sz val="9"/>
        <color theme="1"/>
        <rFont val="Times New Roman"/>
        <family val="1"/>
      </rPr>
      <t>PERMANENT SECRETARY, GOVERNOR'S OFFICE-GOVERNMENT HOUSE AND PROTOCOL</t>
    </r>
  </si>
  <si>
    <r>
      <rPr>
        <b/>
        <sz val="9"/>
        <color theme="1"/>
        <rFont val="Times New Roman"/>
        <family val="1"/>
      </rPr>
      <t>ADMIN CODE: 011100100200:</t>
    </r>
    <r>
      <rPr>
        <sz val="9"/>
        <color theme="1"/>
        <rFont val="Times New Roman"/>
        <family val="1"/>
      </rPr>
      <t xml:space="preserve"> OFFICE OF THE DEPUTY GOVERNOR   </t>
    </r>
  </si>
  <si>
    <r>
      <t xml:space="preserve">ACCOUNTING OFFICER: </t>
    </r>
    <r>
      <rPr>
        <sz val="9"/>
        <color theme="1"/>
        <rFont val="Times New Roman"/>
        <family val="1"/>
      </rPr>
      <t>PERMANENT SECRETARY, OFFICE OF THE DEPUTY GOVERNOR</t>
    </r>
  </si>
  <si>
    <r>
      <rPr>
        <b/>
        <sz val="9"/>
        <color theme="1"/>
        <rFont val="Times New Roman"/>
        <family val="1"/>
      </rPr>
      <t>ADMIN CODE: 011100300100:</t>
    </r>
    <r>
      <rPr>
        <sz val="9"/>
        <color theme="1"/>
        <rFont val="Times New Roman"/>
        <family val="1"/>
      </rPr>
      <t xml:space="preserve"> ONDO STATE BOUNDARY COMMISSION</t>
    </r>
  </si>
  <si>
    <r>
      <t>ACCOUNTING OFFICER: ADMINISTRATIVE</t>
    </r>
    <r>
      <rPr>
        <sz val="9"/>
        <color theme="1"/>
        <rFont val="Times New Roman"/>
        <family val="1"/>
      </rPr>
      <t xml:space="preserve"> SECRETARY, ONDO STATE BOUNDARY COMMISSION</t>
    </r>
  </si>
  <si>
    <r>
      <rPr>
        <b/>
        <sz val="9"/>
        <color theme="1"/>
        <rFont val="Times New Roman"/>
        <family val="1"/>
      </rPr>
      <t>ADMIN CODE: 011101700100:</t>
    </r>
    <r>
      <rPr>
        <sz val="9"/>
        <color theme="1"/>
        <rFont val="Times New Roman"/>
        <family val="1"/>
      </rPr>
      <t xml:space="preserve"> CABINET AND SPECIAL SERVICES DEPARTMENT</t>
    </r>
  </si>
  <si>
    <r>
      <t xml:space="preserve">ACCOUNTING OFFICER: </t>
    </r>
    <r>
      <rPr>
        <sz val="9"/>
        <color theme="1"/>
        <rFont val="Times New Roman"/>
        <family val="1"/>
      </rPr>
      <t>PERMANENT SECRETARY, CABINET AND SPECIAL SERVICES DEPARTMENT</t>
    </r>
  </si>
  <si>
    <r>
      <rPr>
        <b/>
        <sz val="9"/>
        <color theme="1"/>
        <rFont val="Times New Roman"/>
        <family val="1"/>
      </rPr>
      <t>ADMIN CODE: 011103500200:</t>
    </r>
    <r>
      <rPr>
        <sz val="9"/>
        <color theme="1"/>
        <rFont val="Times New Roman"/>
        <family val="1"/>
      </rPr>
      <t xml:space="preserve"> ONDO STATE PENSION COMMISSION (OSPEC)   </t>
    </r>
  </si>
  <si>
    <r>
      <t xml:space="preserve">ACCOUNTING OFFICER: </t>
    </r>
    <r>
      <rPr>
        <sz val="9"/>
        <color theme="1"/>
        <rFont val="Times New Roman"/>
        <family val="1"/>
      </rPr>
      <t>ADMINISTRATIVE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SECRETARY, ONDO STATE PENSION COMMISSION (OSPEC)</t>
    </r>
  </si>
  <si>
    <r>
      <rPr>
        <b/>
        <sz val="9"/>
        <color theme="1"/>
        <rFont val="Times New Roman"/>
        <family val="1"/>
      </rPr>
      <t>ADMIN CODE: 011103700100:</t>
    </r>
    <r>
      <rPr>
        <sz val="9"/>
        <color theme="1"/>
        <rFont val="Times New Roman"/>
        <family val="1"/>
      </rPr>
      <t xml:space="preserve"> ONDO STATE MUSLIM WELFARE BOARD   </t>
    </r>
  </si>
  <si>
    <r>
      <t xml:space="preserve">ACCOUNTING OFFICER: </t>
    </r>
    <r>
      <rPr>
        <sz val="9"/>
        <color theme="1"/>
        <rFont val="Times New Roman"/>
        <family val="1"/>
      </rPr>
      <t>ADMINISTRATIVE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SECRETARY, ONDO STATE MUSLIM WELFARE BOARD </t>
    </r>
  </si>
  <si>
    <r>
      <rPr>
        <b/>
        <sz val="9"/>
        <color theme="1"/>
        <rFont val="Times New Roman"/>
        <family val="1"/>
      </rPr>
      <t>ADMIN CODE: 011105200100:</t>
    </r>
    <r>
      <rPr>
        <sz val="9"/>
        <color theme="1"/>
        <rFont val="Times New Roman"/>
        <family val="1"/>
      </rPr>
      <t xml:space="preserve"> DEPARTMENT OF PUBLIC SERVICE REFORM AND DEVELOPMENT (DPSRD)   </t>
    </r>
  </si>
  <si>
    <r>
      <t xml:space="preserve">ACCOUNTING OFFICER: </t>
    </r>
    <r>
      <rPr>
        <sz val="9"/>
        <color theme="1"/>
        <rFont val="Times New Roman"/>
        <family val="1"/>
      </rPr>
      <t>ADMINISTRATIVE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SECRETARY, DEPARTMENT OF PUBLIC SERVICE REFORM AND DEVELOPMENT (DPSRD) </t>
    </r>
  </si>
  <si>
    <r>
      <rPr>
        <b/>
        <sz val="9"/>
        <color theme="1"/>
        <rFont val="Times New Roman"/>
        <family val="1"/>
      </rPr>
      <t>ADMIN CODE: 012300400200:</t>
    </r>
    <r>
      <rPr>
        <sz val="9"/>
        <color theme="1"/>
        <rFont val="Times New Roman"/>
        <family val="1"/>
      </rPr>
      <t xml:space="preserve"> ORANGE FM   </t>
    </r>
  </si>
  <si>
    <r>
      <t xml:space="preserve">ACCOUNTING OFFICER: </t>
    </r>
    <r>
      <rPr>
        <sz val="9"/>
        <color theme="1"/>
        <rFont val="Times New Roman"/>
        <family val="1"/>
      </rPr>
      <t>GENERAL MANAGER, ORANGE FM</t>
    </r>
  </si>
  <si>
    <r>
      <rPr>
        <b/>
        <sz val="9"/>
        <color theme="1"/>
        <rFont val="Times New Roman"/>
        <family val="1"/>
      </rPr>
      <t>ADMIN CODE: 012400400300:</t>
    </r>
    <r>
      <rPr>
        <sz val="9"/>
        <color theme="1"/>
        <rFont val="Times New Roman"/>
        <family val="1"/>
      </rPr>
      <t xml:space="preserve"> ONDO STATE SECURITY NETWORK AGENCY (AMOTEKUN CORPS)  </t>
    </r>
  </si>
  <si>
    <r>
      <t xml:space="preserve">ACCOUNTING OFFICER: </t>
    </r>
    <r>
      <rPr>
        <sz val="9"/>
        <color theme="1"/>
        <rFont val="Times New Roman"/>
        <family val="1"/>
      </rPr>
      <t xml:space="preserve"> COMMANDANT, ONDO STATE SECURITY NETWORK AGENCY (AMOTEKUN CORPS)</t>
    </r>
  </si>
  <si>
    <r>
      <rPr>
        <b/>
        <sz val="9"/>
        <color theme="1"/>
        <rFont val="Times New Roman"/>
        <family val="1"/>
      </rPr>
      <t>ADMIN CODE: 012500600100:</t>
    </r>
    <r>
      <rPr>
        <sz val="9"/>
        <color theme="1"/>
        <rFont val="Times New Roman"/>
        <family val="1"/>
      </rPr>
      <t xml:space="preserve"> ONDO STATE PUBLIC SERVICE TRAINING INSTITUTE (PSTI)  </t>
    </r>
  </si>
  <si>
    <r>
      <t xml:space="preserve">ACCOUNTING OFFICER: </t>
    </r>
    <r>
      <rPr>
        <sz val="9"/>
        <color theme="1"/>
        <rFont val="Times New Roman"/>
        <family val="1"/>
      </rPr>
      <t xml:space="preserve"> PERMANENT SECRETARY, ONDO STATE PUBLIC SERVICE TRAINING INSTITUTE (PSTI)</t>
    </r>
  </si>
  <si>
    <r>
      <rPr>
        <b/>
        <sz val="9"/>
        <color theme="1"/>
        <rFont val="Times New Roman"/>
        <family val="1"/>
      </rPr>
      <t>ADMIN CODE: 012500800100:</t>
    </r>
    <r>
      <rPr>
        <sz val="9"/>
        <color theme="1"/>
        <rFont val="Times New Roman"/>
        <family val="1"/>
      </rPr>
      <t xml:space="preserve"> SERVICE MATTERS DEPARTMENT</t>
    </r>
  </si>
  <si>
    <r>
      <t xml:space="preserve">ACCOUNTING OFFICER: </t>
    </r>
    <r>
      <rPr>
        <sz val="9"/>
        <color theme="1"/>
        <rFont val="Times New Roman"/>
        <family val="1"/>
      </rPr>
      <t xml:space="preserve"> PERMANENT SECRETARY, SERVICE MATTERS DEPARTMENT</t>
    </r>
  </si>
  <si>
    <r>
      <rPr>
        <b/>
        <sz val="9"/>
        <color theme="1"/>
        <rFont val="Times New Roman"/>
        <family val="1"/>
      </rPr>
      <t>ADMIN CODE: 016100100200:</t>
    </r>
    <r>
      <rPr>
        <sz val="9"/>
        <color theme="1"/>
        <rFont val="Times New Roman"/>
        <family val="1"/>
      </rPr>
      <t xml:space="preserve"> GENERAL ADMINISTRATION</t>
    </r>
  </si>
  <si>
    <r>
      <t xml:space="preserve">ACCOUNTING OFFICER: </t>
    </r>
    <r>
      <rPr>
        <sz val="9"/>
        <color theme="1"/>
        <rFont val="Times New Roman"/>
        <family val="1"/>
      </rPr>
      <t xml:space="preserve"> PERMANENT SECRETARY, GENERAL ADMINISTRATION</t>
    </r>
  </si>
  <si>
    <r>
      <rPr>
        <b/>
        <sz val="9"/>
        <color theme="1"/>
        <rFont val="Times New Roman"/>
        <family val="1"/>
      </rPr>
      <t>ADMIN CODE: 021511000100:</t>
    </r>
    <r>
      <rPr>
        <sz val="9"/>
        <color theme="1"/>
        <rFont val="Times New Roman"/>
        <family val="1"/>
      </rPr>
      <t xml:space="preserve"> AGRICULTURAL INPUT AND SUPPLY AGENCY   </t>
    </r>
  </si>
  <si>
    <r>
      <t xml:space="preserve">ACCOUNTING OFFICER: </t>
    </r>
    <r>
      <rPr>
        <sz val="9"/>
        <color theme="1"/>
        <rFont val="Times New Roman"/>
        <family val="1"/>
      </rPr>
      <t>PERMANENT SECRETARY, AGRICULTURAL INPUT AND SUPPLY AGENCY</t>
    </r>
  </si>
  <si>
    <r>
      <rPr>
        <b/>
        <sz val="9"/>
        <color theme="1"/>
        <rFont val="Times New Roman"/>
        <family val="1"/>
      </rPr>
      <t>ADMIN CODE: 022000100100:</t>
    </r>
    <r>
      <rPr>
        <sz val="9"/>
        <color theme="1"/>
        <rFont val="Times New Roman"/>
        <family val="1"/>
      </rPr>
      <t xml:space="preserve"> MINISTRY OF FINANCE </t>
    </r>
  </si>
  <si>
    <r>
      <t xml:space="preserve">ACCOUNTING OFFICER: </t>
    </r>
    <r>
      <rPr>
        <sz val="9"/>
        <color theme="1"/>
        <rFont val="Times New Roman"/>
        <family val="1"/>
      </rPr>
      <t>PERMANENT SECRETARY, MINISTRY OF FINANCE</t>
    </r>
  </si>
  <si>
    <r>
      <rPr>
        <b/>
        <sz val="9"/>
        <color theme="1"/>
        <rFont val="Times New Roman"/>
        <family val="1"/>
      </rPr>
      <t>ADMIN CODE: 022000200100:</t>
    </r>
    <r>
      <rPr>
        <sz val="9"/>
        <color theme="1"/>
        <rFont val="Times New Roman"/>
        <family val="1"/>
      </rPr>
      <t xml:space="preserve"> DEBT MANAGEMENT OFFICE   </t>
    </r>
  </si>
  <si>
    <r>
      <t xml:space="preserve">ACCOUNTING OFFICER: </t>
    </r>
    <r>
      <rPr>
        <sz val="9"/>
        <color theme="1"/>
        <rFont val="Times New Roman"/>
        <family val="1"/>
      </rPr>
      <t>DIRECTOR, DEBT MANAGEMENT OFFICE</t>
    </r>
  </si>
  <si>
    <r>
      <rPr>
        <b/>
        <sz val="9"/>
        <color theme="1"/>
        <rFont val="Times New Roman"/>
        <family val="1"/>
      </rPr>
      <t>ADMIN CODE: 022000700100:</t>
    </r>
    <r>
      <rPr>
        <sz val="9"/>
        <color theme="1"/>
        <rFont val="Times New Roman"/>
        <family val="1"/>
      </rPr>
      <t xml:space="preserve"> OFFICE OF THE ACCOUNTANT GENERAL   </t>
    </r>
  </si>
  <si>
    <r>
      <t xml:space="preserve">ACCOUNTING OFFICER: </t>
    </r>
    <r>
      <rPr>
        <sz val="9"/>
        <color theme="1"/>
        <rFont val="Times New Roman"/>
        <family val="1"/>
      </rPr>
      <t>STATE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ACCOUNTANT GENERAL, OFFICE OF THE ACCOUNTANT GENERAL</t>
    </r>
  </si>
  <si>
    <r>
      <rPr>
        <b/>
        <sz val="9"/>
        <color theme="1"/>
        <rFont val="Times New Roman"/>
        <family val="1"/>
      </rPr>
      <t>ADMIN CODE: 022200100100:</t>
    </r>
    <r>
      <rPr>
        <sz val="9"/>
        <color theme="1"/>
        <rFont val="Times New Roman"/>
        <family val="1"/>
      </rPr>
      <t xml:space="preserve"> MINISTRY OF COMMERCE, INDUSTRIES AND COOPERATIVES</t>
    </r>
  </si>
  <si>
    <r>
      <t xml:space="preserve">ACCOUNTING OFFICER: </t>
    </r>
    <r>
      <rPr>
        <sz val="9"/>
        <color theme="1"/>
        <rFont val="Times New Roman"/>
        <family val="1"/>
      </rPr>
      <t>PERMANENT SECRETARY, MINISTRY OF COMMERCE, INDUSTRIES AND COOPERATIVES</t>
    </r>
  </si>
  <si>
    <r>
      <rPr>
        <b/>
        <sz val="9"/>
        <color theme="1"/>
        <rFont val="Times New Roman"/>
        <family val="1"/>
      </rPr>
      <t>ADMIN CODE: 023800100100:</t>
    </r>
    <r>
      <rPr>
        <sz val="9"/>
        <color theme="1"/>
        <rFont val="Times New Roman"/>
        <family val="1"/>
      </rPr>
      <t xml:space="preserve"> MINISTRY OF ECONOMIC PLANNING AND BUDGET</t>
    </r>
  </si>
  <si>
    <r>
      <t xml:space="preserve">ACCOUNTING OFFICER: </t>
    </r>
    <r>
      <rPr>
        <sz val="9"/>
        <color theme="1"/>
        <rFont val="Times New Roman"/>
        <family val="1"/>
      </rPr>
      <t>PERMANENT SECRETARY, MINISTRY OF ECONOMIC PLANNING AND BUDGET</t>
    </r>
  </si>
  <si>
    <r>
      <rPr>
        <b/>
        <sz val="9"/>
        <color theme="1"/>
        <rFont val="Times New Roman"/>
        <family val="1"/>
      </rPr>
      <t>ADMIN CODE: 022800700100:</t>
    </r>
    <r>
      <rPr>
        <sz val="9"/>
        <color theme="1"/>
        <rFont val="Times New Roman"/>
        <family val="1"/>
      </rPr>
      <t xml:space="preserve"> STATE INFORMATION TECHNOLOGY AGENCY (SITA)</t>
    </r>
  </si>
  <si>
    <r>
      <t xml:space="preserve">ACCOUNTING OFFICER: </t>
    </r>
    <r>
      <rPr>
        <sz val="9"/>
        <color theme="1"/>
        <rFont val="Times New Roman"/>
        <family val="1"/>
      </rPr>
      <t>PERMANENT SECRETARY, STATE INFORMATION TECHNOLOGY AGENCY (SITA)</t>
    </r>
  </si>
  <si>
    <r>
      <rPr>
        <b/>
        <sz val="9"/>
        <color theme="1"/>
        <rFont val="Times New Roman"/>
        <family val="1"/>
      </rPr>
      <t>ADMIN CODE: 023405600100:</t>
    </r>
    <r>
      <rPr>
        <sz val="9"/>
        <color theme="1"/>
        <rFont val="Times New Roman"/>
        <family val="1"/>
      </rPr>
      <t xml:space="preserve"> ONDO STATE RURAL ACCESS AND AGRICULTURAL MARKETING PROJECT (RAAMP)</t>
    </r>
  </si>
  <si>
    <r>
      <t xml:space="preserve">ACCOUNTING OFFICER: </t>
    </r>
    <r>
      <rPr>
        <sz val="9"/>
        <color theme="1"/>
        <rFont val="Times New Roman"/>
        <family val="1"/>
      </rPr>
      <t>STATE COORDINATOR, ONDO STATE RURAL ACCESS AND AGRICULTURAL MARKETING PROJECT (RAAMP)</t>
    </r>
  </si>
  <si>
    <r>
      <rPr>
        <b/>
        <sz val="9"/>
        <color theme="1"/>
        <rFont val="Times New Roman"/>
        <family val="1"/>
      </rPr>
      <t>ADMIN CODE: 025200100100:</t>
    </r>
    <r>
      <rPr>
        <sz val="9"/>
        <color theme="1"/>
        <rFont val="Times New Roman"/>
        <family val="1"/>
      </rPr>
      <t xml:space="preserve"> MINISTRY OF WATER RESOURCES, PUBLIC SANITATION AND HYGIENE</t>
    </r>
  </si>
  <si>
    <r>
      <t xml:space="preserve">ACCOUNTING OFFICER: </t>
    </r>
    <r>
      <rPr>
        <sz val="9"/>
        <color theme="1"/>
        <rFont val="Times New Roman"/>
        <family val="1"/>
      </rPr>
      <t>PERMANENT SECRETARY, MINISTRY OF WATER RESOURCES, PUBLIC SANITATION AND HYGIENE</t>
    </r>
  </si>
  <si>
    <r>
      <rPr>
        <b/>
        <sz val="9"/>
        <color theme="1"/>
        <rFont val="Times New Roman"/>
        <family val="1"/>
      </rPr>
      <t>ADMIN CODE: 026300100100:</t>
    </r>
    <r>
      <rPr>
        <sz val="9"/>
        <color theme="1"/>
        <rFont val="Times New Roman"/>
        <family val="1"/>
      </rPr>
      <t xml:space="preserve"> MINISTRY OF PHYSICAL PLANNING AND URBAN DEVELOPMENT</t>
    </r>
  </si>
  <si>
    <r>
      <t xml:space="preserve">ACCOUNTING OFFICER: </t>
    </r>
    <r>
      <rPr>
        <sz val="9"/>
        <color theme="1"/>
        <rFont val="Times New Roman"/>
        <family val="1"/>
      </rPr>
      <t>PERMANENT SECRETARY, MINISTRY OF  PHYSICAL PLANNING AND URBAN DEVELOPMENT</t>
    </r>
  </si>
  <si>
    <r>
      <rPr>
        <b/>
        <sz val="9"/>
        <color theme="1"/>
        <rFont val="Times New Roman"/>
        <family val="1"/>
      </rPr>
      <t>ADMIN CODE: 051300100100:</t>
    </r>
    <r>
      <rPr>
        <sz val="9"/>
        <color theme="1"/>
        <rFont val="Times New Roman"/>
        <family val="1"/>
      </rPr>
      <t xml:space="preserve"> MINISTRY OF YOUTH AND SPORTS DEVELOPMENT   </t>
    </r>
  </si>
  <si>
    <r>
      <t xml:space="preserve">ACCOUNTING OFFICER: </t>
    </r>
    <r>
      <rPr>
        <sz val="9"/>
        <color theme="1"/>
        <rFont val="Times New Roman"/>
        <family val="1"/>
      </rPr>
      <t>PERMANENT SECRETARY, MINISTRY OF YOUTH AND SPORTS DEVELOPMENT</t>
    </r>
  </si>
  <si>
    <r>
      <rPr>
        <b/>
        <sz val="9"/>
        <color theme="1"/>
        <rFont val="Times New Roman"/>
        <family val="1"/>
      </rPr>
      <t>ADMIN CODE: 052100300100:</t>
    </r>
    <r>
      <rPr>
        <sz val="9"/>
        <color theme="1"/>
        <rFont val="Times New Roman"/>
        <family val="1"/>
      </rPr>
      <t xml:space="preserve"> PRIMARY HEALTH CARE MANAGEMENT BOARD   </t>
    </r>
  </si>
  <si>
    <r>
      <t xml:space="preserve">ACCOUNTING OFFICER: </t>
    </r>
    <r>
      <rPr>
        <sz val="9"/>
        <color theme="1"/>
        <rFont val="Times New Roman"/>
        <family val="1"/>
      </rPr>
      <t>PERMANENT SECRETARY, PRIMARY HEALTH CARE MANAGEMENT BOARD</t>
    </r>
  </si>
  <si>
    <r>
      <rPr>
        <b/>
        <sz val="9"/>
        <color theme="1"/>
        <rFont val="Times New Roman"/>
        <family val="1"/>
      </rPr>
      <t>ADMIN CODE: 052110600100:</t>
    </r>
    <r>
      <rPr>
        <sz val="9"/>
        <color theme="1"/>
        <rFont val="Times New Roman"/>
        <family val="1"/>
      </rPr>
      <t xml:space="preserve"> COLLEGE OF HEALTH TECHNOLOGY</t>
    </r>
  </si>
  <si>
    <r>
      <t xml:space="preserve">ACCOUNTING OFFICER: </t>
    </r>
    <r>
      <rPr>
        <sz val="9"/>
        <color theme="1"/>
        <rFont val="Times New Roman"/>
        <family val="1"/>
      </rPr>
      <t>PROVOST, COLLEGE OF HEALTH TECHNOLOGY</t>
    </r>
  </si>
  <si>
    <r>
      <rPr>
        <b/>
        <sz val="9"/>
        <color theme="1"/>
        <rFont val="Times New Roman"/>
        <family val="1"/>
      </rPr>
      <t>ADMIN CODE: 053500100100:</t>
    </r>
    <r>
      <rPr>
        <sz val="9"/>
        <color theme="1"/>
        <rFont val="Times New Roman"/>
        <family val="1"/>
      </rPr>
      <t xml:space="preserve"> MINISTRY OF ENVIRONMENT   </t>
    </r>
  </si>
  <si>
    <r>
      <t xml:space="preserve">ACCOUNTING OFFICER: </t>
    </r>
    <r>
      <rPr>
        <sz val="9"/>
        <color theme="1"/>
        <rFont val="Times New Roman"/>
        <family val="1"/>
      </rPr>
      <t>PERMANENT SECRETARY, MINISTRY OF ENVIRONMENT</t>
    </r>
  </si>
  <si>
    <r>
      <t xml:space="preserve">ACCOUNTING OFFICER: </t>
    </r>
    <r>
      <rPr>
        <sz val="9"/>
        <color theme="1"/>
        <rFont val="Times New Roman"/>
        <family val="1"/>
      </rPr>
      <t>ADMINISTRATIVE SECRETARY, ONDO STATE ENVIRONMENTAL PROTECTION AGENCY (OSEPA)</t>
    </r>
  </si>
  <si>
    <r>
      <rPr>
        <b/>
        <sz val="9"/>
        <color theme="1"/>
        <rFont val="Times New Roman"/>
        <family val="1"/>
      </rPr>
      <t>ADMIN CODE: 053505300100:</t>
    </r>
    <r>
      <rPr>
        <sz val="9"/>
        <color theme="1"/>
        <rFont val="Times New Roman"/>
        <family val="1"/>
      </rPr>
      <t xml:space="preserve"> ONDO STATE WASTE MANAGEMENT AUTHORITY</t>
    </r>
  </si>
  <si>
    <r>
      <t xml:space="preserve">ACCOUNTING OFFICER: </t>
    </r>
    <r>
      <rPr>
        <sz val="9"/>
        <color theme="1"/>
        <rFont val="Times New Roman"/>
        <family val="1"/>
      </rPr>
      <t>GENERAL MANAGER, ONDO STATE WASTE MANAGEMENT AUTHORITY</t>
    </r>
  </si>
  <si>
    <r>
      <rPr>
        <b/>
        <sz val="9"/>
        <color theme="1"/>
        <rFont val="Times New Roman"/>
        <family val="1"/>
      </rPr>
      <t>ADMIN CODE: 055800100100:</t>
    </r>
    <r>
      <rPr>
        <sz val="9"/>
        <color theme="1"/>
        <rFont val="Times New Roman"/>
        <family val="1"/>
      </rPr>
      <t xml:space="preserve"> MINISTRY OF LOCAL GOVERNMENT AND CHIEFTAINCY AFFAIRS</t>
    </r>
  </si>
  <si>
    <r>
      <t xml:space="preserve">ACCOUNTING OFFICER: </t>
    </r>
    <r>
      <rPr>
        <sz val="9"/>
        <color theme="1"/>
        <rFont val="Times New Roman"/>
        <family val="1"/>
      </rPr>
      <t>PERMANENT SECRETARY, MINISTRY OF LOCAL GOVERNMENT AND CHIEFTAINCY AFFAIRS</t>
    </r>
  </si>
  <si>
    <t>Housing Loans</t>
  </si>
  <si>
    <t>Grants to Government Owned Company/Agency</t>
  </si>
  <si>
    <t>Grants to Government Owned Company</t>
  </si>
  <si>
    <t>Payment of Share of State IGR to Local Government (10% IGR)</t>
  </si>
  <si>
    <t>Grants to Local Government - Current</t>
  </si>
  <si>
    <t>Maintenance of Street Lights &amp; Maintenance of backup generators</t>
  </si>
  <si>
    <t>00170023401047</t>
  </si>
  <si>
    <t>RECURENT AND CAPITAL</t>
  </si>
  <si>
    <r>
      <t xml:space="preserve">ACCOUNTING OFFICER: </t>
    </r>
    <r>
      <rPr>
        <sz val="9"/>
        <color theme="1"/>
        <rFont val="Times New Roman"/>
        <family val="1"/>
      </rPr>
      <t>CHAIRMAN SECRETARY, AT RISK CHILDREN PROGRAMME ADVISORY COMMITTEE</t>
    </r>
  </si>
  <si>
    <t>At Risk Children Programme Advisory Committee</t>
  </si>
  <si>
    <t>AT RISK CHILDREN PROGRAMME ADVISORY COMMITTEE</t>
  </si>
  <si>
    <t>TOTAL: AT RISK CHILDREN PROGRAMME ADVISORY COMMITTEE</t>
  </si>
  <si>
    <t>At Risk Children Activities</t>
  </si>
  <si>
    <r>
      <rPr>
        <b/>
        <sz val="9"/>
        <color theme="1"/>
        <rFont val="Times New Roman"/>
        <family val="1"/>
      </rPr>
      <t>ADMIN CODE: 023100300100:</t>
    </r>
    <r>
      <rPr>
        <sz val="9"/>
        <color theme="1"/>
        <rFont val="Times New Roman"/>
        <family val="1"/>
      </rPr>
      <t xml:space="preserve"> ONDO STATE ELECTRICITY BOARD</t>
    </r>
  </si>
  <si>
    <r>
      <t xml:space="preserve">ACCOUNTING OFFICER: </t>
    </r>
    <r>
      <rPr>
        <sz val="9"/>
        <color theme="1"/>
        <rFont val="Times New Roman"/>
        <family val="1"/>
      </rPr>
      <t>CHAIRMAN, ONDO STATE ELECTRICITY BOARD</t>
    </r>
  </si>
  <si>
    <t>WATER RATES</t>
  </si>
  <si>
    <t>MAINTENANCE OF STREET LIGHTINGS</t>
  </si>
  <si>
    <t>SURVEYING SERVICES</t>
  </si>
  <si>
    <t>MAINTENANCE OF OFFICE/IT EQUIPMENTS</t>
  </si>
  <si>
    <r>
      <t xml:space="preserve">ACCOUNTING OFFICER: </t>
    </r>
    <r>
      <rPr>
        <sz val="9"/>
        <color theme="1"/>
        <rFont val="Times New Roman"/>
        <family val="1"/>
      </rPr>
      <t xml:space="preserve"> CHAIRMAN, TERTIARY INSTITUTIONS CORDINATING UNIT</t>
    </r>
  </si>
  <si>
    <r>
      <rPr>
        <b/>
        <sz val="9"/>
        <color theme="1"/>
        <rFont val="Times New Roman"/>
        <family val="1"/>
      </rPr>
      <t>ADMIN CODE: 022205100100:</t>
    </r>
    <r>
      <rPr>
        <sz val="9"/>
        <color theme="1"/>
        <rFont val="Times New Roman"/>
        <family val="1"/>
      </rPr>
      <t xml:space="preserve"> MICRO CREDIT AGENCY</t>
    </r>
  </si>
  <si>
    <r>
      <t xml:space="preserve">ACCOUNTING OFFICER: </t>
    </r>
    <r>
      <rPr>
        <sz val="9"/>
        <color theme="1"/>
        <rFont val="Times New Roman"/>
        <family val="1"/>
      </rPr>
      <t>ADMINISTRATIVE SECRETARY, MICRO CREDIT AGENCY</t>
    </r>
  </si>
  <si>
    <t>Human Capital Development: Capacity Building for Consultants and Others</t>
  </si>
  <si>
    <t>CONSOLIDATED REVENUE FUND OFFICE</t>
  </si>
  <si>
    <t>MINISTRY OF AGRICULTURE</t>
  </si>
  <si>
    <t>051400100400</t>
  </si>
  <si>
    <t>TOTAL: STATE INFORMATION DEVELOPMENT AGENCY (SITA)</t>
  </si>
  <si>
    <t>TOTAL: CONSOLIDATED REVENUE FUND OFFICE</t>
  </si>
  <si>
    <t>Maintenance of Plants/Generators</t>
  </si>
  <si>
    <t>Maintenance of Street Lightings</t>
  </si>
  <si>
    <t>Addition</t>
  </si>
  <si>
    <t>Consolidated Revenue Fund Charges - Salaries</t>
  </si>
  <si>
    <t>Tertiary Institutions Cordinating Unit</t>
  </si>
  <si>
    <r>
      <rPr>
        <b/>
        <sz val="9"/>
        <rFont val="Times New Roman"/>
        <family val="1"/>
      </rPr>
      <t>ADMIN CODE: 051400100400:</t>
    </r>
    <r>
      <rPr>
        <sz val="9"/>
        <rFont val="Times New Roman"/>
        <family val="1"/>
      </rPr>
      <t xml:space="preserve"> AT RISK CHILDREN PROGRAMME ADVISORY COMMITTEE</t>
    </r>
  </si>
  <si>
    <t>TOTAL: ONDO STATE SECURITY NETWORK AGENCY (AMOTEKUN CORPS)</t>
  </si>
  <si>
    <t>00050700055301</t>
  </si>
  <si>
    <t>Service Matters Department</t>
  </si>
  <si>
    <t>011113200100: INTER-GOVERNMENTAL AFFAIRS AND MULTILATERAL RELATIONS</t>
  </si>
  <si>
    <t>Counterpart Contribution - FGN Conditional Grant Scheme</t>
  </si>
  <si>
    <t>Draw Down - FGN Conditional Grant Scheme</t>
  </si>
  <si>
    <t>030011101025</t>
  </si>
  <si>
    <t>030011101041</t>
  </si>
  <si>
    <t>Health Insurance Contribution for reimbursement of PHCs/ Hospital Equipment</t>
  </si>
  <si>
    <t>52100200100: CONTRIBUTORY HEALTH COMMISSION</t>
  </si>
  <si>
    <t>21500100100: MINISTRY OF AGRICULTURE</t>
  </si>
  <si>
    <t>Food and Agricultural Organisation (FAO) Support for the Development of Small Holder Farmers in Cocoa &amp; Oil Palm (Draw-down)</t>
  </si>
  <si>
    <t>Food and Agricultural Organisation (FAO) Support for the Development of Small Holder Farmers in Cocoa &amp; Oil Palm (GCC)</t>
  </si>
  <si>
    <t>TOTAL: MINISTRY OF AGRICULTURE</t>
  </si>
  <si>
    <t>Ondo State Agro-Processing Productivity Enhancement and Livelihood Improvement Support (OAPPEALS)-GCC</t>
  </si>
  <si>
    <t>Ondo State Agro-Processing, Productivity enhancement and livelihood improvemnet support (O'APPEALS) Project Drawdown</t>
  </si>
  <si>
    <t>010021501181</t>
  </si>
  <si>
    <t>LIvestock Production and Resilience Support Project (L-PRES): Drawdown</t>
  </si>
  <si>
    <t>FOREIGN GRANTS</t>
  </si>
  <si>
    <t>010021501069</t>
  </si>
  <si>
    <t>RED GOLD (Oil Palm)</t>
  </si>
  <si>
    <t>ODSG/African Union Development Agency-NEPAD Program</t>
  </si>
  <si>
    <t>010021501067</t>
  </si>
  <si>
    <t>National Livestock Transformation Plan (NLTP)</t>
  </si>
  <si>
    <t>010021501071</t>
  </si>
  <si>
    <t>Cocoa Development Initiative</t>
  </si>
  <si>
    <t>010021501032</t>
  </si>
  <si>
    <t>COCOA REVOLUTION</t>
  </si>
  <si>
    <t>TOTAL: COCOA REVOLUTION</t>
  </si>
  <si>
    <t>Ondo State Agri-Business Empowerment Centre ( OSAEC )</t>
  </si>
  <si>
    <t>Ondo State Rural Access and Agricultural Marketing Project (RAAMP)</t>
  </si>
  <si>
    <t>021511600100: COCOA REVOLUTION OFFICE</t>
  </si>
  <si>
    <t>Draw Down On RAMP Programme</t>
  </si>
  <si>
    <t>Counterpart Fund for RAMP3</t>
  </si>
  <si>
    <t>100023401001</t>
  </si>
  <si>
    <t>100023401002</t>
  </si>
  <si>
    <t>Ondo State Water Corporation</t>
  </si>
  <si>
    <t>African Development Bank (AFDB) Water Facility Draw Down</t>
  </si>
  <si>
    <t>African Development Bank (AFDB) Water Facility (GCC)</t>
  </si>
  <si>
    <t>100025201015</t>
  </si>
  <si>
    <t>100025201016</t>
  </si>
  <si>
    <t>New Map Draw Down</t>
  </si>
  <si>
    <t>New Map ( Counterpart Contribution)</t>
  </si>
  <si>
    <t>090053501003</t>
  </si>
  <si>
    <t>090053501004</t>
  </si>
  <si>
    <t>GRAND TOTAL:</t>
  </si>
  <si>
    <t>023405600100: ONDO STATE RURAL ACCESS AND AGRICULTURAL MARKETING PROJECT (RAAMP)</t>
  </si>
  <si>
    <t>25210200100: ONDO STATE WATER CORPORATION</t>
  </si>
  <si>
    <t>053500100200: NEW MAP PROJECT OFFICE</t>
  </si>
  <si>
    <t>Tender Fees</t>
  </si>
  <si>
    <t>Domestic Grants</t>
  </si>
  <si>
    <t>Domenstic Loan/Borrowings From Financial Institutions</t>
  </si>
  <si>
    <t>International Loan/Borrowings From Financial Institutions</t>
  </si>
  <si>
    <r>
      <rPr>
        <b/>
        <sz val="9"/>
        <color theme="1"/>
        <rFont val="Times New Roman"/>
        <family val="1"/>
      </rPr>
      <t>ADMIN CODE: 045100200100:</t>
    </r>
    <r>
      <rPr>
        <sz val="9"/>
        <color theme="1"/>
        <rFont val="Times New Roman"/>
        <family val="1"/>
      </rPr>
      <t xml:space="preserve"> ONDO STATE OIL PRODUCING AREA DEVELOPMENT CCOMMISSION   </t>
    </r>
  </si>
  <si>
    <r>
      <t xml:space="preserve">ACCOUNTING OFFICER: </t>
    </r>
    <r>
      <rPr>
        <sz val="9"/>
        <color theme="1"/>
        <rFont val="Times New Roman"/>
        <family val="1"/>
      </rPr>
      <t>SECRETARY, ONDO STATE OIL PRODUCING AREA DEVELOPMENT CCOMMISSION</t>
    </r>
  </si>
  <si>
    <t>Transfer to OSOPADEC</t>
  </si>
  <si>
    <t>Ondo State Oil Producing Area Development Commission</t>
  </si>
  <si>
    <t>Pension</t>
  </si>
  <si>
    <t>22000100100</t>
  </si>
  <si>
    <t>Total Reallocation From From Capital</t>
  </si>
  <si>
    <t>A: RECURRENT</t>
  </si>
  <si>
    <t>B: CAPITAL</t>
  </si>
  <si>
    <t>C: TOTAL</t>
  </si>
  <si>
    <t>NHIS CONTRIBUTION</t>
  </si>
  <si>
    <t>CONTRIBUTORY PENSION (EMPLOYERS )</t>
  </si>
  <si>
    <t>DETAILS OF POOLED FUND UNDER PERSONNEL</t>
  </si>
  <si>
    <r>
      <rPr>
        <b/>
        <sz val="9"/>
        <rFont val="Times New Roman"/>
        <family val="1"/>
      </rPr>
      <t>ADMIN CODE: 051400100100:</t>
    </r>
    <r>
      <rPr>
        <sz val="9"/>
        <rFont val="Times New Roman"/>
        <family val="1"/>
      </rPr>
      <t xml:space="preserve"> MINISTRY OF WOMEN AFFAIRS AND WOMEN DEVELOPMENT</t>
    </r>
  </si>
  <si>
    <t>BOOKS</t>
  </si>
  <si>
    <t>GENDER</t>
  </si>
  <si>
    <t>Human Trafficking Control</t>
  </si>
  <si>
    <r>
      <t xml:space="preserve">ACCOUNTING OFFICER: </t>
    </r>
    <r>
      <rPr>
        <sz val="9"/>
        <color theme="1"/>
        <rFont val="Times New Roman"/>
        <family val="1"/>
      </rPr>
      <t>PERMANENT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SECRETARY, MINISTRY OF WOMEN AFFAIRS AND SOCIAL DEVELOPMENT</t>
    </r>
  </si>
  <si>
    <r>
      <rPr>
        <b/>
        <sz val="9"/>
        <rFont val="Times New Roman"/>
        <family val="1"/>
      </rPr>
      <t>ADMIN CODE: 051700100</t>
    </r>
    <r>
      <rPr>
        <sz val="9"/>
        <rFont val="Times New Roman"/>
        <family val="1"/>
      </rPr>
      <t>1</t>
    </r>
    <r>
      <rPr>
        <b/>
        <sz val="9"/>
        <rFont val="Times New Roman"/>
        <family val="1"/>
      </rPr>
      <t>00:</t>
    </r>
    <r>
      <rPr>
        <sz val="9"/>
        <rFont val="Times New Roman"/>
        <family val="1"/>
      </rPr>
      <t xml:space="preserve"> MINISTRY OF EDUCATION, SCIENCE AND TECHNOLOGY</t>
    </r>
  </si>
  <si>
    <r>
      <t xml:space="preserve">ACCOUNTING OFFICER: </t>
    </r>
    <r>
      <rPr>
        <sz val="9"/>
        <color theme="1"/>
        <rFont val="Times New Roman"/>
        <family val="1"/>
      </rPr>
      <t xml:space="preserve"> PERMANENT SECRETARY, MINISTRY OF EDUCATION, SCIENCE AND TECHNOLOGY</t>
    </r>
  </si>
  <si>
    <t>COMPETITIONS-GENERAL</t>
  </si>
  <si>
    <t>SCHOOLS EXAMINATION</t>
  </si>
  <si>
    <t>Ministry of Education, Science and Technology</t>
  </si>
  <si>
    <t xml:space="preserve"> Total Expenditure </t>
  </si>
  <si>
    <t>010000000000</t>
  </si>
  <si>
    <t>Administration Sector</t>
  </si>
  <si>
    <t>011100000000</t>
  </si>
  <si>
    <t>Governors Office</t>
  </si>
  <si>
    <t>Deputy Governor's Office</t>
  </si>
  <si>
    <t>Office of Senior Special Assistants to the Governor</t>
  </si>
  <si>
    <t>Office of the Special Advisers to the Governor</t>
  </si>
  <si>
    <t>Office of ADC, CSO Chief Details and Orderly</t>
  </si>
  <si>
    <t>Office of Special Adviser on Special Duties</t>
  </si>
  <si>
    <t>State Emergency Management Agency (SEMA)</t>
  </si>
  <si>
    <t>Bureau of Public Procurement (BPP)</t>
  </si>
  <si>
    <t>Political and Economic Affairs Department</t>
  </si>
  <si>
    <t>Ondo State Pensions Transitional Department</t>
  </si>
  <si>
    <t>State Pension Commission</t>
  </si>
  <si>
    <t>Muslim Welfare Board</t>
  </si>
  <si>
    <t>Christian Welfare Board</t>
  </si>
  <si>
    <t>Office of Special Duties</t>
  </si>
  <si>
    <t>Special Projects Office: World Bank/FGN Assisted</t>
  </si>
  <si>
    <t>Office of the Chief of Staff</t>
  </si>
  <si>
    <t>Performance and Project Implementation Monitoring Unit (PPIMU)</t>
  </si>
  <si>
    <t>016100000000</t>
  </si>
  <si>
    <t>Office of the Secretary to State Government (SSG)</t>
  </si>
  <si>
    <t>Liaison Office, Lagos</t>
  </si>
  <si>
    <t>Liaison Office, Abuja</t>
  </si>
  <si>
    <t>011200000000</t>
  </si>
  <si>
    <t>State House of Assembly</t>
  </si>
  <si>
    <t>House of Assembly Commission</t>
  </si>
  <si>
    <t>House Committees</t>
  </si>
  <si>
    <t>Public Account Secretariat</t>
  </si>
  <si>
    <t>Office of the Speaker</t>
  </si>
  <si>
    <t>Office of the Deputy Speaker</t>
  </si>
  <si>
    <t>012300000000</t>
  </si>
  <si>
    <t>Ministry of Information and Orientation</t>
  </si>
  <si>
    <t>Ondo State Radiovision Corporation</t>
  </si>
  <si>
    <t>Ondo State Signage Agency</t>
  </si>
  <si>
    <t>012400000000</t>
  </si>
  <si>
    <t>State Security Affairs</t>
  </si>
  <si>
    <t>012400400100</t>
  </si>
  <si>
    <t>Nigeria Security and Civil Defence Corps</t>
  </si>
  <si>
    <t>012400400200</t>
  </si>
  <si>
    <t>Nigerian Legion</t>
  </si>
  <si>
    <t>Ondo State Security Network Agency (Amotekun Corps)</t>
  </si>
  <si>
    <t>Fire Services</t>
  </si>
  <si>
    <t>012500000000</t>
  </si>
  <si>
    <t>Office of the Head of Service</t>
  </si>
  <si>
    <t>012500100200</t>
  </si>
  <si>
    <t>Senior Staff Club</t>
  </si>
  <si>
    <t>Government Quarters Management Office</t>
  </si>
  <si>
    <t>Public Service Training Institute</t>
  </si>
  <si>
    <t>Office of Establishments</t>
  </si>
  <si>
    <t>E-Personel Administration Salary System (e-PASS) Office</t>
  </si>
  <si>
    <t>Industrial and Labour Relations Office</t>
  </si>
  <si>
    <t>Committee On Payroll Verification, Scrutinization and Cleanup</t>
  </si>
  <si>
    <t>014000000000</t>
  </si>
  <si>
    <t>Office of the Auditor General</t>
  </si>
  <si>
    <t>Office of the State Auditor General (State)</t>
  </si>
  <si>
    <t>Office of Auditor General for Local Government</t>
  </si>
  <si>
    <t>014700000000</t>
  </si>
  <si>
    <t>Civil Service Commission</t>
  </si>
  <si>
    <t>014800000000</t>
  </si>
  <si>
    <t>Ondo State Independent Electoral Commission (ODIEC)</t>
  </si>
  <si>
    <t>Ondo State Independent Electoral Commission (ODIEC) Area Offices</t>
  </si>
  <si>
    <t>014900000000</t>
  </si>
  <si>
    <t>Local Government Service Commission</t>
  </si>
  <si>
    <t>020000000000</t>
  </si>
  <si>
    <t>Economic Sector</t>
  </si>
  <si>
    <t>021500000000</t>
  </si>
  <si>
    <t>Ministry of Agriculture</t>
  </si>
  <si>
    <t>Ministry of Agriculture: Tree Crop Office</t>
  </si>
  <si>
    <t>Forestry Staff Training School, Owo</t>
  </si>
  <si>
    <t>Agricultural Development Programme</t>
  </si>
  <si>
    <t>Fadama Project</t>
  </si>
  <si>
    <t>Agricultural Input and Supply Agency</t>
  </si>
  <si>
    <t>Agro-Climatological and Ecological Project</t>
  </si>
  <si>
    <t>Cocoa Revolution Office</t>
  </si>
  <si>
    <t>022000000000</t>
  </si>
  <si>
    <t>Expenditure Office</t>
  </si>
  <si>
    <t>State Finance</t>
  </si>
  <si>
    <t>State Resources and Revenue Monitoring Department</t>
  </si>
  <si>
    <t>Consolidated Revenue Fund Office</t>
  </si>
  <si>
    <t>Treasury Cash Offices (TCOs)</t>
  </si>
  <si>
    <t>022000800100</t>
  </si>
  <si>
    <t>Ondo State Internal Revenue Service</t>
  </si>
  <si>
    <t>Pools Bettings and Lotteries Board</t>
  </si>
  <si>
    <t>022200000000</t>
  </si>
  <si>
    <t>Consumer Protection Committee</t>
  </si>
  <si>
    <t>Ondo State Entrepreneurship Agency (ONDEA)</t>
  </si>
  <si>
    <t>Ondo State Investment Promotion Agency (ONDIPA)</t>
  </si>
  <si>
    <t>022800000000</t>
  </si>
  <si>
    <t>State Information Technology Agency (SITA) Area Offices</t>
  </si>
  <si>
    <t>022900000000</t>
  </si>
  <si>
    <t>Office of Transport</t>
  </si>
  <si>
    <t>023100000000</t>
  </si>
  <si>
    <t>Ministry of Energy, Mines and Mineral Resources</t>
  </si>
  <si>
    <t>Ondo State Electricity Regulatory Bureau (OSERB)</t>
  </si>
  <si>
    <t>023300000000</t>
  </si>
  <si>
    <t>Ministry of Natural Resources</t>
  </si>
  <si>
    <t>023305200100</t>
  </si>
  <si>
    <t>Ondo State Aforestation Project</t>
  </si>
  <si>
    <t>023400000000</t>
  </si>
  <si>
    <t>023400100300</t>
  </si>
  <si>
    <t>Public Works Department (OSARMCO)</t>
  </si>
  <si>
    <t>023600000000</t>
  </si>
  <si>
    <t>Ministry of Culture and Tourism</t>
  </si>
  <si>
    <t>023800000000</t>
  </si>
  <si>
    <t>Budget Office</t>
  </si>
  <si>
    <t>Manpower Development Office</t>
  </si>
  <si>
    <t>Youth Employment and Social Support Operations (YESSO)</t>
  </si>
  <si>
    <t>Economic Intelligence Office</t>
  </si>
  <si>
    <t>Ondo-CARES Programme Coordinating Office</t>
  </si>
  <si>
    <t>Monitoring and Evaluation (MEMIS Project) Office</t>
  </si>
  <si>
    <t>Ondo State Bureau of Statistics</t>
  </si>
  <si>
    <t>025200000000</t>
  </si>
  <si>
    <t>Ondo State Rural Water Supply and Sanitation Agency (RUWASSA)</t>
  </si>
  <si>
    <t>025300000000</t>
  </si>
  <si>
    <t>Ministry of Housing and Urban Development</t>
  </si>
  <si>
    <t>Ondo State Development and Property Corporation</t>
  </si>
  <si>
    <t>026000000000</t>
  </si>
  <si>
    <t>026300000000</t>
  </si>
  <si>
    <t>026400000000</t>
  </si>
  <si>
    <t>Office of Public Utilities</t>
  </si>
  <si>
    <t>030000000000</t>
  </si>
  <si>
    <t>Law and Justice Sector</t>
  </si>
  <si>
    <t>031800000000</t>
  </si>
  <si>
    <t>Ondo State Judiciary</t>
  </si>
  <si>
    <t>Customary Court of Appeal</t>
  </si>
  <si>
    <t>Ondo State Judicial Service Commission</t>
  </si>
  <si>
    <t>Office of Honourable Chief Judge</t>
  </si>
  <si>
    <t>Judiciary Division</t>
  </si>
  <si>
    <t>Office of the President of the Customary Court of Appeal</t>
  </si>
  <si>
    <t>032600000000</t>
  </si>
  <si>
    <t>Ministry of Justice</t>
  </si>
  <si>
    <t>Ondo State Law Commission</t>
  </si>
  <si>
    <t>Citizen's Right Mediation Centre/Office of Public Defenders</t>
  </si>
  <si>
    <t>040000000000</t>
  </si>
  <si>
    <t>Regional Sector</t>
  </si>
  <si>
    <t>045100000000</t>
  </si>
  <si>
    <t>045100200100</t>
  </si>
  <si>
    <t>Ministry of Regional Integration and Diasporas Affairs</t>
  </si>
  <si>
    <t>050000000000</t>
  </si>
  <si>
    <t>Social Sector</t>
  </si>
  <si>
    <t>051300000000</t>
  </si>
  <si>
    <t>Ondo State Football Development Agency</t>
  </si>
  <si>
    <t>051400000000</t>
  </si>
  <si>
    <t>Agency for the Welfare of the Physically Challenged Persons</t>
  </si>
  <si>
    <t>Ministry of Women Affairs and Social Development Area Offices</t>
  </si>
  <si>
    <t>Ondo State Agency Against Gender Based Violence (OSAA-GBV)</t>
  </si>
  <si>
    <t>051700000000</t>
  </si>
  <si>
    <t>Zonal Education Offices</t>
  </si>
  <si>
    <t>Ondo State Education Endowment Fund Office</t>
  </si>
  <si>
    <t>State Universal Basic Education Board (SUBEB) Headquarters</t>
  </si>
  <si>
    <t>State Universal Basic Education Board (Subeb) Zonal Office</t>
  </si>
  <si>
    <t>Mega Schools</t>
  </si>
  <si>
    <t>Ondo State Library Board</t>
  </si>
  <si>
    <t>Rufus Giwa polytechnic, Owo</t>
  </si>
  <si>
    <t>Adekunle Ajasin University, Akungba Akoko</t>
  </si>
  <si>
    <t>Olusegun Agagu University of Science and Technology, Okitipupa</t>
  </si>
  <si>
    <t>Ondo State University of Medical Sciences</t>
  </si>
  <si>
    <t>Teaching Service Commission</t>
  </si>
  <si>
    <t>Zonal Teaching Service Commission, Akure</t>
  </si>
  <si>
    <t>Zonal Teaching Service Commission, Ikare</t>
  </si>
  <si>
    <t>Zonal Teaching Service Commission, Irele</t>
  </si>
  <si>
    <t>Zonal Teaching Service Commission, Odigbo</t>
  </si>
  <si>
    <t>Zonal Teaching Service Commission, Oka</t>
  </si>
  <si>
    <t>Zonal Teaching Service Commission, Okitipupa</t>
  </si>
  <si>
    <t>Zonal Teaching Service Commission, Ondo</t>
  </si>
  <si>
    <t>Zonal Teaching Service Commission, Owena</t>
  </si>
  <si>
    <t>Zonal Teaching Service Commission, Owo</t>
  </si>
  <si>
    <t>Board of Adult, Technical and Vocational Education</t>
  </si>
  <si>
    <t>Ondo State Scholarship Board</t>
  </si>
  <si>
    <t>052100000000</t>
  </si>
  <si>
    <t>Ministry of Health</t>
  </si>
  <si>
    <t>Malaria Elimination and Nutrition Improvement Project Office</t>
  </si>
  <si>
    <t>Drugs and Health Commodity Management Project</t>
  </si>
  <si>
    <t>Contributory Health Commission</t>
  </si>
  <si>
    <t>Primary Health Care Management Board</t>
  </si>
  <si>
    <t>Ondo State University of Medical Sciences Teaching Hospital</t>
  </si>
  <si>
    <t>Hospitals Management Board</t>
  </si>
  <si>
    <t>052110200900</t>
  </si>
  <si>
    <t>Ondo State Mother and Child Hospital</t>
  </si>
  <si>
    <t>Board of Alternative Medicine</t>
  </si>
  <si>
    <t>Emergency Response Service</t>
  </si>
  <si>
    <t>Neuro-Psychiatric Specialist Hospital</t>
  </si>
  <si>
    <t>Ondo State Agency for the Control of Aids (ODSACA)</t>
  </si>
  <si>
    <t>053500000000</t>
  </si>
  <si>
    <t>New Map Project Office</t>
  </si>
  <si>
    <t>Ondo State Waste Management</t>
  </si>
  <si>
    <t>053900000000</t>
  </si>
  <si>
    <t>Ondo State Sports Council</t>
  </si>
  <si>
    <t>053905300100</t>
  </si>
  <si>
    <t>Ondo State Football Academy</t>
  </si>
  <si>
    <t>055700000000</t>
  </si>
  <si>
    <t>Ministry of Community Development and Cooperatives</t>
  </si>
  <si>
    <t>Directorate of Rural and Community Development</t>
  </si>
  <si>
    <t>Ondo State Community and Social Development Agency</t>
  </si>
  <si>
    <t>055800000000</t>
  </si>
  <si>
    <t xml:space="preserve">                                    -   </t>
  </si>
  <si>
    <t>Government House and Protocol-Political Functionaries</t>
  </si>
  <si>
    <t>Ondo State Livelihood Improvement Family Enterprise -Niger Delta (LIFE-ND)</t>
  </si>
  <si>
    <t>Office of Transport-Vehicle Inspection (Area) Office and Inland Waterways</t>
  </si>
  <si>
    <t>Ondo State UN-REDD+ Project</t>
  </si>
  <si>
    <t>Office of Surveyor-General of the State</t>
  </si>
  <si>
    <t>Ministry of Physical Planning and Urban Development -Area Offices</t>
  </si>
  <si>
    <t>Customary Court of Appeal - Judicial Divisions</t>
  </si>
  <si>
    <t>School of Health Technology</t>
  </si>
  <si>
    <t>051700100400</t>
  </si>
  <si>
    <r>
      <rPr>
        <b/>
        <sz val="9"/>
        <color theme="1"/>
        <rFont val="Times New Roman"/>
        <family val="1"/>
      </rPr>
      <t>ADMIN CODE: 053501600100:</t>
    </r>
    <r>
      <rPr>
        <sz val="9"/>
        <color theme="1"/>
        <rFont val="Times New Roman"/>
        <family val="1"/>
      </rPr>
      <t xml:space="preserve"> ONDO STATE ENVIRONMENTAL PROTECTION AGENCY (OSEPA)</t>
    </r>
  </si>
  <si>
    <t>ONDO STATE AGRI-BUSINESS EMPOWERMENT CENTRE (OSAEC)</t>
  </si>
  <si>
    <t>TOTAL: ONDO STATE AGRI-BUSINESS EMPOWERMENT CENTRE (OSAEC)</t>
  </si>
  <si>
    <t>Ondo State Agri-Business Empowerment Centre (OSAEC)</t>
  </si>
  <si>
    <t>ONDO STATE RURAL ACCESS AND AGRICULTURAL MARKETING PROJECT (RAAMP)</t>
  </si>
  <si>
    <t>TOTAL: ONDO STATE RURAL ACCESS AND AGRICULTURAL MARKETING PROJECT (RAAMP)</t>
  </si>
  <si>
    <t>ONDO STATE WATER CORPORATION</t>
  </si>
  <si>
    <t>TOTAL: ONDO STATE WATER CORPORATION</t>
  </si>
  <si>
    <t>NEW MAP PROJECT OFFICE</t>
  </si>
  <si>
    <t>Ondo State Bureau of Public Procurement (OBPP)</t>
  </si>
  <si>
    <t>ONDO STATE OF NIGERIA </t>
  </si>
  <si>
    <t>ALLOCATION TO MINISTRIES/DEPARTMENTS/AGENCIES</t>
  </si>
  <si>
    <t>FIRST SCHEDULE</t>
  </si>
  <si>
    <t xml:space="preserve"> AMIN CODE </t>
  </si>
  <si>
    <t xml:space="preserve"> ADMINISTRATIVE UNIT</t>
  </si>
  <si>
    <t xml:space="preserve"> OVERHEAD COST (N)</t>
  </si>
  <si>
    <t xml:space="preserve"> SALARY AND WAGES (N)</t>
  </si>
  <si>
    <t>130</t>
  </si>
  <si>
    <t>171</t>
  </si>
  <si>
    <t>iii</t>
  </si>
  <si>
    <t>iv</t>
  </si>
  <si>
    <t>v</t>
  </si>
  <si>
    <t>vi</t>
  </si>
  <si>
    <t>vii</t>
  </si>
  <si>
    <t>viii</t>
  </si>
  <si>
    <t>CAPITAL (N)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</si>
  <si>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</si>
  <si>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</si>
  <si>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</si>
  <si>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</si>
  <si>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</si>
  <si>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</si>
  <si>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</si>
  <si>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</si>
  <si>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</si>
  <si>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</si>
  <si>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</si>
  <si>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164</t>
  </si>
  <si>
    <t>SECOND SCHEDULE</t>
  </si>
  <si>
    <t>ix</t>
  </si>
  <si>
    <t>xi</t>
  </si>
  <si>
    <t>xii</t>
  </si>
  <si>
    <t>xiii</t>
  </si>
  <si>
    <t>xiv</t>
  </si>
  <si>
    <t>xv</t>
  </si>
  <si>
    <t>xvi</t>
  </si>
  <si>
    <t>xvii</t>
  </si>
  <si>
    <t>January, 2022</t>
  </si>
  <si>
    <t>February, 2022</t>
  </si>
  <si>
    <t>March, 2022</t>
  </si>
  <si>
    <t>April, 2022</t>
  </si>
  <si>
    <t>May, 2022</t>
  </si>
  <si>
    <t>June, 2022</t>
  </si>
  <si>
    <t>July, 2022</t>
  </si>
  <si>
    <t>August, 2022</t>
  </si>
  <si>
    <t>September, 2022</t>
  </si>
  <si>
    <t>Average</t>
  </si>
  <si>
    <t>Ondo State Contributory Health Commission (ODCHC)</t>
  </si>
  <si>
    <t>MINISTRY</t>
  </si>
  <si>
    <t>Clearance of Salary Arrears/Adjustment</t>
  </si>
  <si>
    <r>
      <rPr>
        <b/>
        <sz val="9"/>
        <color theme="1"/>
        <rFont val="Times New Roman"/>
        <family val="1"/>
      </rPr>
      <t>ADMIN CODE: 031800100100:</t>
    </r>
    <r>
      <rPr>
        <sz val="9"/>
        <color theme="1"/>
        <rFont val="Times New Roman"/>
        <family val="1"/>
      </rPr>
      <t xml:space="preserve"> ONDO STATE JUDICIARY</t>
    </r>
  </si>
  <si>
    <t>SEWAGE CHARGES</t>
  </si>
  <si>
    <t>UNIFORMS &amp; OTHER CLOTHING</t>
  </si>
  <si>
    <t>MEDICAL EXPENSES-LOCAL</t>
  </si>
  <si>
    <t>ELECTION-LOGISTICS SUPPORT</t>
  </si>
  <si>
    <t>Valedictory/Graduation /Send Forth Ceremonies</t>
  </si>
  <si>
    <t>Decongestion of Correctional Centres</t>
  </si>
  <si>
    <t>International Travel &amp; Transport: Others</t>
  </si>
  <si>
    <r>
      <t xml:space="preserve">ACCOUNTING OFFICER: </t>
    </r>
    <r>
      <rPr>
        <sz val="9"/>
        <color theme="1"/>
        <rFont val="Times New Roman"/>
        <family val="1"/>
      </rPr>
      <t>CHIEF REGISTRAR, ONDO STATE JUDICIARY</t>
    </r>
  </si>
  <si>
    <t>TOTAL REVENUE:</t>
  </si>
  <si>
    <t>GAIN ON DISPOSAL OF ASSET - INVESTMENT PROPERTY</t>
  </si>
  <si>
    <t xml:space="preserve"> INDEPENDENT REVENUE PAID TO CRF</t>
  </si>
  <si>
    <t>GAIN ON FOREIGN EXCHANGE</t>
  </si>
  <si>
    <t>GRANTS</t>
  </si>
  <si>
    <t>LONG-TERM BORROWINGS</t>
  </si>
  <si>
    <t>SHORT TERM BORROWINGS/DOMESTIC LOAN</t>
  </si>
  <si>
    <t>21511700100: ONDO STATE AGRIC-BUSINESS EMPOWERMENT CENTRE (OSAEC)</t>
  </si>
  <si>
    <t>FOREIGN LOAN</t>
  </si>
  <si>
    <t>DOMESTIC LOAN</t>
  </si>
  <si>
    <t>HEALTH INSURANCE CONTRIBUTION</t>
  </si>
  <si>
    <t>ROLL-OVER FUND/CASH RESERVE</t>
  </si>
  <si>
    <t>DETAILS OF ADJUSTMENT TO GRANTS AND FOREIGN LOANS</t>
  </si>
  <si>
    <t>Ondo State Oil Producing Area Development Commission (OSOPADEC)</t>
  </si>
  <si>
    <t>AMOUNT SPENT TILL DATE (N)</t>
  </si>
  <si>
    <t xml:space="preserve">AMOUNT SPENT TILL DATE (N)     </t>
  </si>
  <si>
    <t>12 Months (N)</t>
  </si>
  <si>
    <t>2 Months (N)</t>
  </si>
  <si>
    <t xml:space="preserve">ADDITIONAL PROVISION (N)        </t>
  </si>
  <si>
    <t>DEDUCTION (N)</t>
  </si>
  <si>
    <t>AMOUNT(N)</t>
  </si>
  <si>
    <t>OVERHEAD COST (N)</t>
  </si>
  <si>
    <t>SUMMARY OF REVENUE ADJUSTMENTS</t>
  </si>
  <si>
    <t>DETAILS OF SOCIAL CONTRIBUTIONS</t>
  </si>
  <si>
    <t>LOCAL SCHOLARSHIP AND BURSARY SCHEME</t>
  </si>
  <si>
    <r>
      <rPr>
        <b/>
        <sz val="9"/>
        <rFont val="Times New Roman"/>
        <family val="1"/>
      </rPr>
      <t>ADMIN CODE: 051705600100:</t>
    </r>
    <r>
      <rPr>
        <sz val="9"/>
        <rFont val="Times New Roman"/>
        <family val="1"/>
      </rPr>
      <t xml:space="preserve"> ONDO STATE SCHOLARSHIP BOARD</t>
    </r>
  </si>
  <si>
    <r>
      <t xml:space="preserve">ACCOUNTING OFFICER: </t>
    </r>
    <r>
      <rPr>
        <sz val="9"/>
        <color theme="1"/>
        <rFont val="Times New Roman"/>
        <family val="1"/>
      </rPr>
      <t xml:space="preserve"> PERMANENT SECRETARY, ONDO STATE SCHOLARSHIP BOARD</t>
    </r>
  </si>
  <si>
    <r>
      <t xml:space="preserve">ACCOUNTING OFFICER: </t>
    </r>
    <r>
      <rPr>
        <sz val="9"/>
        <color theme="1"/>
        <rFont val="Times New Roman"/>
        <family val="1"/>
      </rPr>
      <t>CLEARK OF THE HOUSE, STATE HOUSE OF ASSEMBLY</t>
    </r>
  </si>
  <si>
    <t>INTERNATIONAL TRAVEL &amp; TRANSPORT: TRAINING</t>
  </si>
  <si>
    <t>MAINTENANCE OF COMMUNICATION EQUIPMENT</t>
  </si>
  <si>
    <t>RECRUITMENT AND APPOINTMENT (SERVICE WIDE)</t>
  </si>
  <si>
    <r>
      <rPr>
        <b/>
        <sz val="9"/>
        <color theme="1"/>
        <rFont val="Times New Roman"/>
        <family val="1"/>
      </rPr>
      <t>ADMIN CODE: 011200300100:</t>
    </r>
    <r>
      <rPr>
        <sz val="9"/>
        <color theme="1"/>
        <rFont val="Times New Roman"/>
        <family val="1"/>
      </rPr>
      <t xml:space="preserve"> STATE HOUSE OF ASSEMBLY</t>
    </r>
  </si>
  <si>
    <t>7</t>
  </si>
  <si>
    <t>15</t>
  </si>
  <si>
    <t>22</t>
  </si>
  <si>
    <t>20</t>
  </si>
  <si>
    <t>16</t>
  </si>
  <si>
    <t>18</t>
  </si>
  <si>
    <t>13</t>
  </si>
  <si>
    <t>14</t>
  </si>
  <si>
    <t>17</t>
  </si>
  <si>
    <t>19</t>
  </si>
  <si>
    <t>23</t>
  </si>
  <si>
    <t>24</t>
  </si>
  <si>
    <t>25</t>
  </si>
  <si>
    <t>Office of Auditor General for Local Governments</t>
  </si>
  <si>
    <r>
      <rPr>
        <b/>
        <sz val="9"/>
        <color theme="1"/>
        <rFont val="Times New Roman"/>
        <family val="1"/>
      </rPr>
      <t>ADMIN CODE: 014000200100:</t>
    </r>
    <r>
      <rPr>
        <sz val="9"/>
        <color theme="1"/>
        <rFont val="Times New Roman"/>
        <family val="1"/>
      </rPr>
      <t xml:space="preserve"> OFFICE OF AUDITOR GENERAL FOR LOCAL GOVERNMENT </t>
    </r>
  </si>
  <si>
    <r>
      <t xml:space="preserve">ACCOUNTING OFFICER: </t>
    </r>
    <r>
      <rPr>
        <sz val="9"/>
        <color theme="1"/>
        <rFont val="Times New Roman"/>
        <family val="1"/>
      </rPr>
      <t xml:space="preserve"> AUDITOR GENERAL, OFFICE OF AUDITOR GENERAL FOR LOCAL GOVERNMENT</t>
    </r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</si>
  <si>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</si>
  <si>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</si>
  <si>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</si>
  <si>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</si>
  <si>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</si>
  <si>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</si>
  <si>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</si>
  <si>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</si>
  <si>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</si>
  <si>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</si>
  <si>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</si>
  <si>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</si>
  <si>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</si>
  <si>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</si>
  <si>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</si>
  <si>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</si>
  <si>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</si>
  <si>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</si>
  <si>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</si>
  <si>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</si>
  <si>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</si>
  <si>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</si>
  <si>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</si>
  <si>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</si>
  <si>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</si>
  <si>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</si>
  <si>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</si>
  <si>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57</t>
  </si>
  <si>
    <r>
      <rPr>
        <b/>
        <sz val="9"/>
        <rFont val="Times New Roman"/>
        <family val="1"/>
      </rPr>
      <t>ADMIN CODE: 051700100300:</t>
    </r>
    <r>
      <rPr>
        <sz val="9"/>
        <rFont val="Times New Roman"/>
        <family val="1"/>
      </rPr>
      <t xml:space="preserve"> TERTIARY INSTITUTIONS CO-ORDINATING UNIT</t>
    </r>
  </si>
  <si>
    <t>TERTIARY INSTITUTIONS CO-ORDINATING UNIT</t>
  </si>
  <si>
    <t>TOTAL: TERTIARY INSTITUTIONS CO-ORDINATING UNIT</t>
  </si>
  <si>
    <t>Tertiary Institutions Co-ordinating Unit</t>
  </si>
  <si>
    <t>64-65</t>
  </si>
  <si>
    <t>65-66</t>
  </si>
  <si>
    <t>66-67</t>
  </si>
  <si>
    <t>67-68</t>
  </si>
  <si>
    <t>69-70</t>
  </si>
  <si>
    <t>DETAILS OF RE-ORDERED RECURRENT EXPENDITURE</t>
  </si>
  <si>
    <t>00130001360101</t>
  </si>
  <si>
    <t>Consultancy for Revenue Repatriation</t>
  </si>
  <si>
    <t>YEAR 2022 APPROVED RE-ORDERED REVENUE</t>
  </si>
  <si>
    <t>APPROVED 2022 RE-ORDERED (N)</t>
  </si>
  <si>
    <t>APPROVED RE-OREDERED ESTIMATES, 2022</t>
  </si>
  <si>
    <t>2022 APPROVED RE-ORDERED (N)</t>
  </si>
  <si>
    <t>YEAR 2022 APPROVED RE-ORDERED BUDGET</t>
  </si>
  <si>
    <t>APPROVED 2022 REVISED (N)</t>
  </si>
  <si>
    <t>APPROVED RE-OEDERED EXPENDITURE</t>
  </si>
  <si>
    <t>Approved 2022           Re-rdered</t>
  </si>
  <si>
    <t>APPROVED RE-ORDERED (N)</t>
  </si>
  <si>
    <t>APPROVED CAPITAL RE-ORDERED ESTIMATES, 2022</t>
  </si>
  <si>
    <t>YEAR 2022 APPROVED RE-ODERED RECURRENT ESTIMATES</t>
  </si>
  <si>
    <t>APPROVED TOTAL RECURRENT (N)</t>
  </si>
  <si>
    <t xml:space="preserve">APPROVED TOTAL CAPITAL (N) </t>
  </si>
  <si>
    <t>YEAR 2022 APPROVED RE-ORDERED CAPITAL ESTIMATES</t>
  </si>
  <si>
    <t>APPROVED RE-ORDERED ESTIMATES, 2022</t>
  </si>
  <si>
    <t>APPROVED PERSONNEL RE-ORDERED ESTIMATES, 2022</t>
  </si>
  <si>
    <t>APPROVED 2022 REORDERED (N)</t>
  </si>
  <si>
    <t>YEAR 2022 APPROVED RE-ORDERED RECURRENT ESTIMATES</t>
  </si>
  <si>
    <t>OVERALL SUMMARY OF APPROVED RE-ORDERED BUDGET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</si>
</sst>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0;[Red]0"/>
    <numFmt numFmtId="167" formatCode="0.00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7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sz val="14"/>
      <color theme="1"/>
      <name val="Times New Roman"/>
      <family val="1"/>
    </font>
    <font>
      <sz val="8.5"/>
      <color theme="1"/>
      <name val="Times New Roman"/>
      <family val="1"/>
    </font>
    <font>
      <b/>
      <sz val="10"/>
      <color rgb="FF000000"/>
      <name val="Times New Roman"/>
      <family val="1"/>
    </font>
    <font>
      <sz val="8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8"/>
      <color rgb="FFFF0000"/>
      <name val="Times New Roman"/>
      <family val="1"/>
    </font>
    <font>
      <b/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8"/>
      <color rgb="FFFF0000"/>
      <name val="Times New Roman"/>
      <family val="1"/>
    </font>
    <font>
      <sz val="13"/>
      <color rgb="FF000000"/>
      <name val="Times New Roman"/>
      <family val="1"/>
    </font>
    <font>
      <sz val="8"/>
      <color rgb="FF000000"/>
      <name val="Times New Roman"/>
      <family val="1"/>
    </font>
    <font>
      <sz val="7.8"/>
      <name val="Times New Roman"/>
      <family val="1"/>
    </font>
    <font>
      <b/>
      <sz val="8"/>
      <name val="Times New Roman"/>
      <family val="1"/>
    </font>
    <font>
      <b/>
      <sz val="7"/>
      <color theme="1"/>
      <name val="Times New Roman"/>
      <family val="1"/>
    </font>
    <font>
      <sz val="7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sz val="8.5"/>
      <name val="Times New Roman"/>
      <family val="1"/>
    </font>
    <font>
      <sz val="8.5"/>
      <name val="Times New Roman"/>
      <family val="1"/>
    </font>
    <font>
      <sz val="8"/>
      <color theme="1"/>
      <name val="Calibri"/>
      <family val="2"/>
    </font>
    <font>
      <b/>
      <sz val="10"/>
      <color rgb="FF000000"/>
      <name val="Tahoma"/>
      <family val="2"/>
    </font>
    <font>
      <b/>
      <i/>
      <u/>
      <sz val="10"/>
      <color rgb="FF000000"/>
      <name val="Tahoma"/>
      <family val="2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u/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7.5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7" fillId="0" borderId="0"/>
  </cellStyleXfs>
  <cellXfs count="592">
    <xf numFmtId="0" fontId="0" fillId="0" borderId="0" xfId="0"/>
    <xf numFmtId="0" fontId="2" fillId="0" borderId="0" xfId="0" applyFont="1"/>
    <xf numFmtId="165" fontId="2" fillId="0" borderId="0" xfId="1" applyFont="1"/>
    <xf numFmtId="165" fontId="0" fillId="0" borderId="0" xfId="0" applyNumberFormat="1"/>
    <xf numFmtId="165" fontId="0" fillId="0" borderId="0" xfId="1" applyFont="1"/>
    <xf numFmtId="166" fontId="6" fillId="0" borderId="0" xfId="0" applyNumberFormat="1" applyFont="1"/>
    <xf numFmtId="4" fontId="6" fillId="0" borderId="0" xfId="0" applyNumberFormat="1" applyFont="1"/>
    <xf numFmtId="166" fontId="0" fillId="0" borderId="0" xfId="0" applyNumberFormat="1"/>
    <xf numFmtId="4" fontId="0" fillId="0" borderId="0" xfId="0" applyNumberFormat="1"/>
    <xf numFmtId="166" fontId="0" fillId="0" borderId="0" xfId="0" applyNumberFormat="1" applyAlignment="1">
      <alignment vertical="center"/>
    </xf>
    <xf numFmtId="4" fontId="6" fillId="0" borderId="0" xfId="0" applyNumberFormat="1" applyFont="1" applyAlignment="1">
      <alignment vertical="center"/>
    </xf>
    <xf numFmtId="165" fontId="6" fillId="0" borderId="0" xfId="1" applyFont="1" applyBorder="1" applyAlignment="1">
      <alignment horizontal="left"/>
    </xf>
    <xf numFmtId="166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65" fontId="7" fillId="0" borderId="0" xfId="1" applyFont="1" applyBorder="1"/>
    <xf numFmtId="4" fontId="0" fillId="0" borderId="0" xfId="0" applyNumberFormat="1" applyAlignment="1">
      <alignment vertical="center"/>
    </xf>
    <xf numFmtId="165" fontId="0" fillId="0" borderId="0" xfId="1" applyFont="1" applyBorder="1" applyAlignment="1">
      <alignment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67" fontId="0" fillId="0" borderId="0" xfId="0" applyNumberFormat="1"/>
    <xf numFmtId="0" fontId="5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165" fontId="9" fillId="0" borderId="0" xfId="1" applyFont="1" applyBorder="1"/>
    <xf numFmtId="0" fontId="0" fillId="0" borderId="0" xfId="0" applyAlignment="1">
      <alignment wrapText="1"/>
    </xf>
    <xf numFmtId="49" fontId="5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6" fillId="0" borderId="0" xfId="0" applyFont="1"/>
    <xf numFmtId="0" fontId="18" fillId="0" borderId="0" xfId="0" applyFont="1" applyAlignment="1">
      <alignment horizontal="center"/>
    </xf>
    <xf numFmtId="0" fontId="11" fillId="0" borderId="1" xfId="0" applyFont="1" applyBorder="1"/>
    <xf numFmtId="165" fontId="11" fillId="0" borderId="1" xfId="1" applyFont="1" applyBorder="1"/>
    <xf numFmtId="0" fontId="10" fillId="0" borderId="0" xfId="0" applyFont="1"/>
    <xf numFmtId="0" fontId="15" fillId="0" borderId="0" xfId="0" applyFont="1"/>
    <xf numFmtId="0" fontId="18" fillId="0" borderId="0" xfId="0" applyFont="1"/>
    <xf numFmtId="0" fontId="18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66" fontId="18" fillId="0" borderId="6" xfId="0" applyNumberFormat="1" applyFont="1" applyBorder="1" applyAlignment="1">
      <alignment vertical="center"/>
    </xf>
    <xf numFmtId="166" fontId="18" fillId="0" borderId="1" xfId="0" applyNumberFormat="1" applyFont="1" applyBorder="1" applyAlignment="1">
      <alignment vertical="center"/>
    </xf>
    <xf numFmtId="4" fontId="19" fillId="0" borderId="1" xfId="0" applyNumberFormat="1" applyFont="1" applyBorder="1" applyAlignment="1">
      <alignment vertical="center"/>
    </xf>
    <xf numFmtId="165" fontId="18" fillId="0" borderId="1" xfId="1" applyFont="1" applyBorder="1" applyAlignment="1">
      <alignment vertical="center"/>
    </xf>
    <xf numFmtId="0" fontId="16" fillId="0" borderId="5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21" fillId="0" borderId="1" xfId="0" applyFont="1" applyBorder="1" applyAlignment="1">
      <alignment horizontal="center" wrapText="1"/>
    </xf>
    <xf numFmtId="165" fontId="11" fillId="2" borderId="1" xfId="1" applyFont="1" applyFill="1" applyBorder="1" applyAlignment="1">
      <alignment horizontal="right" wrapText="1"/>
    </xf>
    <xf numFmtId="0" fontId="16" fillId="4" borderId="1" xfId="0" applyFont="1" applyFill="1" applyBorder="1" applyAlignment="1">
      <alignment horizontal="center" wrapText="1"/>
    </xf>
    <xf numFmtId="0" fontId="17" fillId="0" borderId="5" xfId="0" applyFont="1" applyBorder="1" applyAlignment="1">
      <alignment horizontal="center"/>
    </xf>
    <xf numFmtId="165" fontId="24" fillId="0" borderId="0" xfId="0" applyNumberFormat="1" applyFont="1"/>
    <xf numFmtId="165" fontId="25" fillId="0" borderId="1" xfId="1" applyFont="1" applyBorder="1" applyAlignment="1">
      <alignment horizontal="center"/>
    </xf>
    <xf numFmtId="165" fontId="26" fillId="0" borderId="1" xfId="1" applyFont="1" applyBorder="1" applyAlignment="1">
      <alignment horizontal="center"/>
    </xf>
    <xf numFmtId="0" fontId="27" fillId="0" borderId="0" xfId="0" applyFont="1"/>
    <xf numFmtId="49" fontId="16" fillId="0" borderId="1" xfId="0" applyNumberFormat="1" applyFont="1" applyBorder="1"/>
    <xf numFmtId="0" fontId="16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65" fontId="16" fillId="0" borderId="4" xfId="0" applyNumberFormat="1" applyFont="1" applyBorder="1" applyAlignment="1">
      <alignment horizontal="center"/>
    </xf>
    <xf numFmtId="165" fontId="8" fillId="0" borderId="0" xfId="1" applyFont="1" applyBorder="1" applyAlignment="1">
      <alignment horizontal="center"/>
    </xf>
    <xf numFmtId="0" fontId="27" fillId="0" borderId="0" xfId="0" applyFont="1" applyAlignment="1">
      <alignment horizontal="left"/>
    </xf>
    <xf numFmtId="0" fontId="11" fillId="0" borderId="6" xfId="0" applyFont="1" applyBorder="1" applyAlignment="1">
      <alignment horizontal="center"/>
    </xf>
    <xf numFmtId="49" fontId="11" fillId="0" borderId="4" xfId="0" applyNumberFormat="1" applyFont="1" applyBorder="1"/>
    <xf numFmtId="165" fontId="11" fillId="0" borderId="5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5" fontId="16" fillId="0" borderId="7" xfId="0" applyNumberFormat="1" applyFont="1" applyBorder="1" applyAlignment="1">
      <alignment horizontal="left"/>
    </xf>
    <xf numFmtId="0" fontId="17" fillId="0" borderId="0" xfId="0" applyFont="1"/>
    <xf numFmtId="165" fontId="11" fillId="0" borderId="1" xfId="1" applyFont="1" applyBorder="1" applyAlignment="1">
      <alignment horizontal="center"/>
    </xf>
    <xf numFmtId="0" fontId="14" fillId="0" borderId="0" xfId="0" applyFont="1"/>
    <xf numFmtId="166" fontId="18" fillId="0" borderId="13" xfId="0" applyNumberFormat="1" applyFont="1" applyBorder="1" applyAlignment="1">
      <alignment vertical="center"/>
    </xf>
    <xf numFmtId="166" fontId="18" fillId="0" borderId="2" xfId="0" applyNumberFormat="1" applyFont="1" applyBorder="1" applyAlignment="1">
      <alignment vertical="center"/>
    </xf>
    <xf numFmtId="165" fontId="21" fillId="0" borderId="1" xfId="1" applyFont="1" applyBorder="1" applyAlignment="1">
      <alignment vertical="center"/>
    </xf>
    <xf numFmtId="165" fontId="22" fillId="0" borderId="1" xfId="0" applyNumberFormat="1" applyFont="1" applyBorder="1" applyAlignment="1">
      <alignment horizontal="center" wrapText="1"/>
    </xf>
    <xf numFmtId="165" fontId="30" fillId="0" borderId="0" xfId="0" applyNumberFormat="1" applyFont="1"/>
    <xf numFmtId="166" fontId="1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5" fontId="13" fillId="0" borderId="0" xfId="1" applyFont="1" applyBorder="1" applyAlignment="1">
      <alignment vertical="center"/>
    </xf>
    <xf numFmtId="0" fontId="16" fillId="0" borderId="4" xfId="0" applyFont="1" applyBorder="1" applyAlignment="1">
      <alignment horizontal="left" wrapText="1"/>
    </xf>
    <xf numFmtId="0" fontId="11" fillId="2" borderId="1" xfId="0" applyFont="1" applyFill="1" applyBorder="1" applyAlignment="1">
      <alignment vertical="center" wrapText="1"/>
    </xf>
    <xf numFmtId="49" fontId="11" fillId="0" borderId="5" xfId="0" applyNumberFormat="1" applyFont="1" applyBorder="1"/>
    <xf numFmtId="0" fontId="16" fillId="0" borderId="4" xfId="0" applyFont="1" applyBorder="1" applyAlignment="1">
      <alignment horizontal="left" vertical="center" wrapText="1"/>
    </xf>
    <xf numFmtId="49" fontId="11" fillId="2" borderId="5" xfId="0" applyNumberFormat="1" applyFont="1" applyFill="1" applyBorder="1" applyAlignment="1">
      <alignment horizontal="left" vertical="center" wrapText="1"/>
    </xf>
    <xf numFmtId="0" fontId="18" fillId="0" borderId="6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65" fontId="17" fillId="0" borderId="1" xfId="1" applyFont="1" applyBorder="1" applyAlignment="1">
      <alignment horizontal="center" wrapText="1"/>
    </xf>
    <xf numFmtId="165" fontId="17" fillId="0" borderId="1" xfId="1" applyFont="1" applyBorder="1" applyAlignment="1">
      <alignment horizontal="center"/>
    </xf>
    <xf numFmtId="0" fontId="23" fillId="0" borderId="6" xfId="0" applyFont="1" applyBorder="1" applyAlignment="1">
      <alignment horizontal="right"/>
    </xf>
    <xf numFmtId="0" fontId="14" fillId="5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 wrapText="1"/>
    </xf>
    <xf numFmtId="165" fontId="27" fillId="0" borderId="0" xfId="0" applyNumberFormat="1" applyFont="1"/>
    <xf numFmtId="4" fontId="31" fillId="0" borderId="1" xfId="0" applyNumberFormat="1" applyFont="1" applyBorder="1" applyAlignment="1">
      <alignment vertical="center"/>
    </xf>
    <xf numFmtId="165" fontId="32" fillId="0" borderId="6" xfId="1" applyFont="1" applyBorder="1"/>
    <xf numFmtId="165" fontId="31" fillId="0" borderId="1" xfId="1" applyFont="1" applyBorder="1" applyAlignment="1">
      <alignment vertical="center"/>
    </xf>
    <xf numFmtId="165" fontId="31" fillId="0" borderId="6" xfId="1" applyFont="1" applyBorder="1" applyAlignment="1">
      <alignment horizontal="right"/>
    </xf>
    <xf numFmtId="4" fontId="31" fillId="0" borderId="1" xfId="0" applyNumberFormat="1" applyFont="1" applyBorder="1" applyAlignment="1">
      <alignment horizontal="right"/>
    </xf>
    <xf numFmtId="4" fontId="32" fillId="0" borderId="6" xfId="0" applyNumberFormat="1" applyFont="1" applyBorder="1" applyAlignment="1">
      <alignment vertical="center"/>
    </xf>
    <xf numFmtId="4" fontId="32" fillId="0" borderId="1" xfId="0" applyNumberFormat="1" applyFont="1" applyBorder="1" applyAlignment="1">
      <alignment vertical="center"/>
    </xf>
    <xf numFmtId="166" fontId="31" fillId="0" borderId="0" xfId="0" applyNumberFormat="1" applyFont="1"/>
    <xf numFmtId="4" fontId="31" fillId="0" borderId="0" xfId="0" applyNumberFormat="1" applyFont="1"/>
    <xf numFmtId="165" fontId="32" fillId="0" borderId="6" xfId="1" applyFont="1" applyBorder="1" applyAlignment="1">
      <alignment horizontal="right"/>
    </xf>
    <xf numFmtId="0" fontId="11" fillId="2" borderId="1" xfId="0" applyFont="1" applyFill="1" applyBorder="1" applyAlignment="1">
      <alignment horizontal="center" vertical="center" wrapText="1"/>
    </xf>
    <xf numFmtId="165" fontId="16" fillId="0" borderId="1" xfId="1" applyFont="1" applyBorder="1"/>
    <xf numFmtId="4" fontId="10" fillId="0" borderId="1" xfId="0" applyNumberFormat="1" applyFont="1" applyBorder="1" applyAlignment="1">
      <alignment horizontal="right" vertical="center"/>
    </xf>
    <xf numFmtId="4" fontId="16" fillId="0" borderId="1" xfId="0" applyNumberFormat="1" applyFont="1" applyBorder="1"/>
    <xf numFmtId="49" fontId="16" fillId="0" borderId="5" xfId="0" applyNumberFormat="1" applyFont="1" applyBorder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/>
    </xf>
    <xf numFmtId="165" fontId="30" fillId="0" borderId="6" xfId="1" applyFont="1" applyBorder="1" applyAlignment="1">
      <alignment horizontal="center"/>
    </xf>
    <xf numFmtId="165" fontId="30" fillId="0" borderId="1" xfId="1" applyFont="1" applyBorder="1" applyAlignment="1">
      <alignment horizontal="center"/>
    </xf>
    <xf numFmtId="165" fontId="11" fillId="0" borderId="1" xfId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left" vertical="center" wrapText="1"/>
    </xf>
    <xf numFmtId="165" fontId="11" fillId="0" borderId="5" xfId="1" applyFont="1" applyBorder="1" applyAlignment="1">
      <alignment horizontal="center" wrapText="1"/>
    </xf>
    <xf numFmtId="165" fontId="11" fillId="0" borderId="5" xfId="1" applyFont="1" applyBorder="1" applyAlignment="1">
      <alignment horizontal="center"/>
    </xf>
    <xf numFmtId="49" fontId="16" fillId="0" borderId="18" xfId="0" applyNumberFormat="1" applyFont="1" applyBorder="1"/>
    <xf numFmtId="49" fontId="12" fillId="0" borderId="18" xfId="0" applyNumberFormat="1" applyFont="1" applyBorder="1" applyAlignment="1">
      <alignment horizontal="center"/>
    </xf>
    <xf numFmtId="0" fontId="11" fillId="0" borderId="18" xfId="0" applyFont="1" applyBorder="1" applyAlignment="1">
      <alignment horizontal="left" vertical="center" wrapText="1"/>
    </xf>
    <xf numFmtId="165" fontId="11" fillId="0" borderId="6" xfId="1" applyFont="1" applyBorder="1" applyAlignment="1">
      <alignment horizontal="center" wrapText="1"/>
    </xf>
    <xf numFmtId="165" fontId="11" fillId="0" borderId="6" xfId="1" applyFont="1" applyBorder="1" applyAlignment="1">
      <alignment horizontal="center"/>
    </xf>
    <xf numFmtId="49" fontId="16" fillId="0" borderId="9" xfId="0" applyNumberFormat="1" applyFont="1" applyBorder="1"/>
    <xf numFmtId="49" fontId="12" fillId="0" borderId="4" xfId="0" applyNumberFormat="1" applyFont="1" applyBorder="1" applyAlignment="1">
      <alignment horizontal="center"/>
    </xf>
    <xf numFmtId="165" fontId="16" fillId="0" borderId="4" xfId="1" applyFont="1" applyBorder="1" applyAlignment="1">
      <alignment horizontal="center"/>
    </xf>
    <xf numFmtId="165" fontId="16" fillId="0" borderId="4" xfId="1" applyFont="1" applyBorder="1" applyAlignment="1">
      <alignment horizontal="center" wrapText="1"/>
    </xf>
    <xf numFmtId="165" fontId="11" fillId="0" borderId="18" xfId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center" wrapText="1"/>
    </xf>
    <xf numFmtId="165" fontId="11" fillId="0" borderId="1" xfId="1" applyFont="1" applyBorder="1" applyAlignment="1">
      <alignment horizontal="right" vertical="center"/>
    </xf>
    <xf numFmtId="165" fontId="11" fillId="0" borderId="18" xfId="1" applyFont="1" applyBorder="1" applyAlignment="1">
      <alignment horizontal="center" wrapText="1"/>
    </xf>
    <xf numFmtId="0" fontId="16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right" wrapText="1"/>
    </xf>
    <xf numFmtId="165" fontId="11" fillId="3" borderId="1" xfId="1" applyFont="1" applyFill="1" applyBorder="1" applyAlignment="1">
      <alignment horizontal="center" wrapText="1"/>
    </xf>
    <xf numFmtId="165" fontId="11" fillId="0" borderId="1" xfId="1" applyFont="1" applyFill="1" applyBorder="1" applyAlignment="1">
      <alignment horizontal="right" vertical="center"/>
    </xf>
    <xf numFmtId="165" fontId="11" fillId="0" borderId="18" xfId="1" applyFont="1" applyBorder="1" applyAlignment="1">
      <alignment horizontal="center"/>
    </xf>
    <xf numFmtId="165" fontId="34" fillId="0" borderId="4" xfId="1" applyFont="1" applyBorder="1" applyAlignment="1">
      <alignment horizontal="center"/>
    </xf>
    <xf numFmtId="165" fontId="12" fillId="0" borderId="1" xfId="1" applyFont="1" applyBorder="1" applyAlignment="1">
      <alignment horizontal="center"/>
    </xf>
    <xf numFmtId="49" fontId="16" fillId="0" borderId="6" xfId="0" applyNumberFormat="1" applyFont="1" applyBorder="1"/>
    <xf numFmtId="49" fontId="12" fillId="0" borderId="6" xfId="0" applyNumberFormat="1" applyFont="1" applyBorder="1" applyAlignment="1">
      <alignment horizontal="center"/>
    </xf>
    <xf numFmtId="0" fontId="11" fillId="0" borderId="6" xfId="0" applyFont="1" applyBorder="1" applyAlignment="1">
      <alignment horizontal="left" vertical="center" wrapText="1"/>
    </xf>
    <xf numFmtId="165" fontId="12" fillId="0" borderId="1" xfId="1" applyFont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left" wrapText="1"/>
    </xf>
    <xf numFmtId="49" fontId="16" fillId="3" borderId="1" xfId="0" applyNumberFormat="1" applyFont="1" applyFill="1" applyBorder="1" applyAlignment="1">
      <alignment horizontal="left" wrapText="1"/>
    </xf>
    <xf numFmtId="0" fontId="16" fillId="3" borderId="5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6" fillId="3" borderId="4" xfId="0" applyFont="1" applyFill="1" applyBorder="1" applyAlignment="1">
      <alignment horizontal="left" wrapText="1"/>
    </xf>
    <xf numFmtId="165" fontId="16" fillId="3" borderId="4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17" fillId="0" borderId="1" xfId="0" applyFont="1" applyBorder="1"/>
    <xf numFmtId="0" fontId="17" fillId="0" borderId="1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30" fillId="0" borderId="1" xfId="0" applyFont="1" applyBorder="1"/>
    <xf numFmtId="49" fontId="36" fillId="0" borderId="5" xfId="0" applyNumberFormat="1" applyFont="1" applyBorder="1"/>
    <xf numFmtId="0" fontId="11" fillId="0" borderId="5" xfId="0" applyFont="1" applyBorder="1" applyAlignment="1">
      <alignment horizontal="left" wrapText="1"/>
    </xf>
    <xf numFmtId="165" fontId="11" fillId="0" borderId="18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6" fillId="0" borderId="18" xfId="0" applyFont="1" applyBorder="1" applyAlignment="1">
      <alignment wrapText="1"/>
    </xf>
    <xf numFmtId="165" fontId="16" fillId="0" borderId="7" xfId="0" applyNumberFormat="1" applyFont="1" applyBorder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165" fontId="16" fillId="0" borderId="1" xfId="0" applyNumberFormat="1" applyFont="1" applyBorder="1" applyAlignment="1">
      <alignment horizontal="center"/>
    </xf>
    <xf numFmtId="0" fontId="11" fillId="0" borderId="6" xfId="0" applyFont="1" applyBorder="1"/>
    <xf numFmtId="0" fontId="11" fillId="0" borderId="4" xfId="0" applyFont="1" applyBorder="1"/>
    <xf numFmtId="0" fontId="11" fillId="0" borderId="18" xfId="0" applyFont="1" applyBorder="1"/>
    <xf numFmtId="0" fontId="17" fillId="0" borderId="18" xfId="0" applyFont="1" applyBorder="1" applyAlignment="1">
      <alignment horizontal="center"/>
    </xf>
    <xf numFmtId="0" fontId="16" fillId="0" borderId="18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6" xfId="0" applyFont="1" applyBorder="1" applyAlignment="1">
      <alignment horizontal="left" vertical="center" wrapText="1"/>
    </xf>
    <xf numFmtId="165" fontId="16" fillId="0" borderId="6" xfId="0" applyNumberFormat="1" applyFont="1" applyBorder="1" applyAlignment="1">
      <alignment horizontal="center"/>
    </xf>
    <xf numFmtId="165" fontId="21" fillId="0" borderId="6" xfId="0" applyNumberFormat="1" applyFont="1" applyBorder="1" applyAlignment="1">
      <alignment horizontal="center"/>
    </xf>
    <xf numFmtId="165" fontId="11" fillId="0" borderId="5" xfId="0" applyNumberFormat="1" applyFont="1" applyBorder="1"/>
    <xf numFmtId="165" fontId="12" fillId="0" borderId="11" xfId="0" applyNumberFormat="1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6" fillId="0" borderId="5" xfId="0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49" fontId="11" fillId="0" borderId="5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49" fontId="11" fillId="0" borderId="18" xfId="0" applyNumberFormat="1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16" fillId="0" borderId="22" xfId="0" applyFont="1" applyBorder="1" applyAlignment="1">
      <alignment horizontal="left" vertical="center" wrapText="1"/>
    </xf>
    <xf numFmtId="165" fontId="16" fillId="0" borderId="1" xfId="1" applyFont="1" applyBorder="1" applyAlignment="1">
      <alignment horizontal="center"/>
    </xf>
    <xf numFmtId="165" fontId="34" fillId="0" borderId="6" xfId="1" applyFont="1" applyBorder="1" applyAlignment="1">
      <alignment horizontal="center"/>
    </xf>
    <xf numFmtId="165" fontId="16" fillId="0" borderId="6" xfId="1" applyFont="1" applyBorder="1" applyAlignment="1">
      <alignment horizontal="center"/>
    </xf>
    <xf numFmtId="165" fontId="34" fillId="0" borderId="1" xfId="1" applyFont="1" applyBorder="1" applyAlignment="1">
      <alignment horizontal="center"/>
    </xf>
    <xf numFmtId="0" fontId="22" fillId="0" borderId="0" xfId="0" applyFont="1"/>
    <xf numFmtId="0" fontId="22" fillId="0" borderId="1" xfId="0" applyFont="1" applyBorder="1" applyAlignment="1">
      <alignment horizontal="left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vertical="center" wrapText="1"/>
    </xf>
    <xf numFmtId="0" fontId="37" fillId="0" borderId="6" xfId="0" applyFont="1" applyBorder="1" applyAlignment="1">
      <alignment vertical="center" wrapText="1"/>
    </xf>
    <xf numFmtId="165" fontId="16" fillId="0" borderId="1" xfId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11" fillId="0" borderId="23" xfId="0" applyFont="1" applyBorder="1" applyAlignment="1">
      <alignment horizontal="center"/>
    </xf>
    <xf numFmtId="165" fontId="16" fillId="0" borderId="21" xfId="0" applyNumberFormat="1" applyFont="1" applyBorder="1" applyAlignment="1">
      <alignment horizontal="center"/>
    </xf>
    <xf numFmtId="0" fontId="22" fillId="0" borderId="1" xfId="0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right"/>
    </xf>
    <xf numFmtId="49" fontId="18" fillId="0" borderId="12" xfId="0" applyNumberFormat="1" applyFont="1" applyBorder="1"/>
    <xf numFmtId="0" fontId="14" fillId="0" borderId="12" xfId="0" applyFont="1" applyBorder="1" applyAlignment="1">
      <alignment horizontal="right" vertical="center"/>
    </xf>
    <xf numFmtId="0" fontId="38" fillId="0" borderId="0" xfId="0" applyFont="1" applyAlignment="1">
      <alignment wrapText="1"/>
    </xf>
    <xf numFmtId="0" fontId="11" fillId="0" borderId="1" xfId="0" applyFont="1" applyBorder="1" applyAlignment="1">
      <alignment horizontal="left"/>
    </xf>
    <xf numFmtId="165" fontId="16" fillId="3" borderId="1" xfId="0" applyNumberFormat="1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wrapText="1"/>
    </xf>
    <xf numFmtId="0" fontId="16" fillId="3" borderId="6" xfId="0" applyFont="1" applyFill="1" applyBorder="1" applyAlignment="1">
      <alignment horizontal="left" wrapText="1"/>
    </xf>
    <xf numFmtId="165" fontId="16" fillId="3" borderId="6" xfId="0" applyNumberFormat="1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 wrapText="1"/>
    </xf>
    <xf numFmtId="165" fontId="12" fillId="0" borderId="5" xfId="1" applyFont="1" applyBorder="1" applyAlignment="1">
      <alignment horizontal="center"/>
    </xf>
    <xf numFmtId="0" fontId="16" fillId="3" borderId="9" xfId="0" applyFont="1" applyFill="1" applyBorder="1" applyAlignment="1">
      <alignment horizontal="center" wrapText="1"/>
    </xf>
    <xf numFmtId="0" fontId="16" fillId="3" borderId="4" xfId="0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165" fontId="12" fillId="0" borderId="6" xfId="1" applyFont="1" applyBorder="1" applyAlignment="1">
      <alignment horizontal="center"/>
    </xf>
    <xf numFmtId="0" fontId="22" fillId="0" borderId="1" xfId="0" applyFont="1" applyBorder="1"/>
    <xf numFmtId="0" fontId="16" fillId="3" borderId="5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left" wrapText="1"/>
    </xf>
    <xf numFmtId="165" fontId="11" fillId="3" borderId="5" xfId="1" applyFont="1" applyFill="1" applyBorder="1" applyAlignment="1">
      <alignment horizontal="center" wrapText="1"/>
    </xf>
    <xf numFmtId="165" fontId="16" fillId="3" borderId="5" xfId="1" applyFont="1" applyFill="1" applyBorder="1" applyAlignment="1">
      <alignment horizontal="center" wrapText="1"/>
    </xf>
    <xf numFmtId="0" fontId="11" fillId="0" borderId="5" xfId="0" applyFont="1" applyBorder="1" applyAlignment="1">
      <alignment horizontal="left" vertical="center"/>
    </xf>
    <xf numFmtId="4" fontId="11" fillId="0" borderId="5" xfId="0" applyNumberFormat="1" applyFont="1" applyBorder="1" applyAlignment="1">
      <alignment horizontal="right" vertical="center"/>
    </xf>
    <xf numFmtId="0" fontId="16" fillId="3" borderId="18" xfId="0" applyFont="1" applyFill="1" applyBorder="1" applyAlignment="1">
      <alignment horizontal="center"/>
    </xf>
    <xf numFmtId="0" fontId="16" fillId="3" borderId="18" xfId="0" applyFont="1" applyFill="1" applyBorder="1" applyAlignment="1">
      <alignment horizontal="center" wrapText="1"/>
    </xf>
    <xf numFmtId="165" fontId="16" fillId="0" borderId="4" xfId="0" applyNumberFormat="1" applyFont="1" applyBorder="1" applyAlignment="1">
      <alignment horizontal="left"/>
    </xf>
    <xf numFmtId="49" fontId="16" fillId="3" borderId="5" xfId="0" applyNumberFormat="1" applyFont="1" applyFill="1" applyBorder="1" applyAlignment="1">
      <alignment horizontal="left" wrapText="1"/>
    </xf>
    <xf numFmtId="165" fontId="11" fillId="3" borderId="18" xfId="1" applyFont="1" applyFill="1" applyBorder="1" applyAlignment="1">
      <alignment horizontal="center" wrapText="1"/>
    </xf>
    <xf numFmtId="49" fontId="16" fillId="3" borderId="6" xfId="0" applyNumberFormat="1" applyFont="1" applyFill="1" applyBorder="1" applyAlignment="1">
      <alignment horizontal="left" wrapText="1"/>
    </xf>
    <xf numFmtId="49" fontId="16" fillId="3" borderId="9" xfId="0" applyNumberFormat="1" applyFont="1" applyFill="1" applyBorder="1" applyAlignment="1">
      <alignment horizontal="left" wrapText="1"/>
    </xf>
    <xf numFmtId="165" fontId="11" fillId="0" borderId="1" xfId="1" applyFont="1" applyBorder="1" applyAlignment="1">
      <alignment wrapText="1"/>
    </xf>
    <xf numFmtId="166" fontId="31" fillId="0" borderId="1" xfId="0" applyNumberFormat="1" applyFont="1" applyBorder="1" applyAlignment="1">
      <alignment vertical="center"/>
    </xf>
    <xf numFmtId="4" fontId="31" fillId="0" borderId="1" xfId="0" applyNumberFormat="1" applyFont="1" applyBorder="1" applyAlignment="1">
      <alignment horizontal="center" vertical="center"/>
    </xf>
    <xf numFmtId="166" fontId="31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165" fontId="17" fillId="0" borderId="1" xfId="1" applyFont="1" applyBorder="1"/>
    <xf numFmtId="0" fontId="17" fillId="0" borderId="5" xfId="0" applyFont="1" applyBorder="1"/>
    <xf numFmtId="165" fontId="17" fillId="0" borderId="5" xfId="1" applyFont="1" applyBorder="1"/>
    <xf numFmtId="165" fontId="17" fillId="0" borderId="5" xfId="1" applyFont="1" applyBorder="1" applyAlignment="1">
      <alignment horizontal="center"/>
    </xf>
    <xf numFmtId="165" fontId="14" fillId="0" borderId="4" xfId="0" applyNumberFormat="1" applyFont="1" applyBorder="1"/>
    <xf numFmtId="0" fontId="17" fillId="0" borderId="7" xfId="0" applyFont="1" applyBorder="1"/>
    <xf numFmtId="0" fontId="5" fillId="0" borderId="7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6" fillId="0" borderId="12" xfId="0" applyFont="1" applyBorder="1" applyAlignment="1">
      <alignment horizontal="left" wrapText="1"/>
    </xf>
    <xf numFmtId="0" fontId="17" fillId="0" borderId="12" xfId="0" applyFont="1" applyBorder="1" applyAlignment="1">
      <alignment horizontal="center"/>
    </xf>
    <xf numFmtId="49" fontId="11" fillId="0" borderId="12" xfId="0" applyNumberFormat="1" applyFont="1" applyBorder="1" applyAlignment="1">
      <alignment horizontal="center"/>
    </xf>
    <xf numFmtId="165" fontId="16" fillId="0" borderId="12" xfId="0" applyNumberFormat="1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165" fontId="39" fillId="0" borderId="1" xfId="1" applyFont="1" applyBorder="1" applyAlignment="1">
      <alignment horizontal="center"/>
    </xf>
    <xf numFmtId="0" fontId="12" fillId="3" borderId="1" xfId="0" applyFont="1" applyFill="1" applyBorder="1" applyAlignment="1">
      <alignment horizontal="left" wrapText="1"/>
    </xf>
    <xf numFmtId="165" fontId="40" fillId="0" borderId="6" xfId="1" applyFont="1" applyBorder="1" applyAlignment="1">
      <alignment horizontal="center"/>
    </xf>
    <xf numFmtId="165" fontId="12" fillId="3" borderId="1" xfId="1" applyFont="1" applyFill="1" applyBorder="1" applyAlignment="1">
      <alignment horizontal="left" wrapText="1"/>
    </xf>
    <xf numFmtId="0" fontId="12" fillId="3" borderId="5" xfId="0" applyFont="1" applyFill="1" applyBorder="1" applyAlignment="1">
      <alignment horizontal="left" wrapText="1"/>
    </xf>
    <xf numFmtId="165" fontId="40" fillId="0" borderId="18" xfId="1" applyFont="1" applyBorder="1" applyAlignment="1">
      <alignment horizontal="center"/>
    </xf>
    <xf numFmtId="165" fontId="12" fillId="3" borderId="5" xfId="1" applyFont="1" applyFill="1" applyBorder="1" applyAlignment="1">
      <alignment horizontal="left" wrapText="1"/>
    </xf>
    <xf numFmtId="0" fontId="12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1" fillId="3" borderId="1" xfId="0" applyFont="1" applyFill="1" applyBorder="1" applyAlignment="1">
      <alignment horizontal="center" wrapText="1"/>
    </xf>
    <xf numFmtId="0" fontId="41" fillId="3" borderId="7" xfId="0" applyFont="1" applyFill="1" applyBorder="1" applyAlignment="1">
      <alignment horizontal="center" wrapText="1"/>
    </xf>
    <xf numFmtId="0" fontId="41" fillId="3" borderId="6" xfId="0" applyFont="1" applyFill="1" applyBorder="1" applyAlignment="1">
      <alignment horizontal="center" wrapText="1"/>
    </xf>
    <xf numFmtId="165" fontId="42" fillId="0" borderId="1" xfId="1" applyFont="1" applyBorder="1" applyAlignment="1">
      <alignment horizontal="center"/>
    </xf>
    <xf numFmtId="165" fontId="42" fillId="0" borderId="5" xfId="1" applyFont="1" applyBorder="1" applyAlignment="1">
      <alignment horizontal="center"/>
    </xf>
    <xf numFmtId="165" fontId="24" fillId="0" borderId="1" xfId="1" applyFont="1" applyBorder="1" applyAlignment="1">
      <alignment horizontal="center"/>
    </xf>
    <xf numFmtId="165" fontId="43" fillId="0" borderId="1" xfId="1" applyFont="1" applyBorder="1" applyAlignment="1">
      <alignment horizontal="center"/>
    </xf>
    <xf numFmtId="165" fontId="43" fillId="0" borderId="7" xfId="1" applyFont="1" applyBorder="1" applyAlignment="1">
      <alignment horizontal="center"/>
    </xf>
    <xf numFmtId="165" fontId="43" fillId="0" borderId="5" xfId="1" applyFont="1" applyBorder="1" applyAlignment="1">
      <alignment horizontal="center"/>
    </xf>
    <xf numFmtId="165" fontId="43" fillId="0" borderId="6" xfId="1" applyFont="1" applyBorder="1" applyAlignment="1">
      <alignment horizontal="center"/>
    </xf>
    <xf numFmtId="165" fontId="43" fillId="0" borderId="1" xfId="1" applyFont="1" applyBorder="1" applyAlignment="1">
      <alignment horizontal="center" wrapText="1"/>
    </xf>
    <xf numFmtId="165" fontId="43" fillId="0" borderId="5" xfId="1" applyFont="1" applyBorder="1" applyAlignment="1">
      <alignment horizontal="center" wrapText="1"/>
    </xf>
    <xf numFmtId="165" fontId="42" fillId="0" borderId="5" xfId="1" applyFont="1" applyBorder="1" applyAlignment="1">
      <alignment horizontal="center" wrapText="1"/>
    </xf>
    <xf numFmtId="0" fontId="24" fillId="0" borderId="16" xfId="0" applyFont="1" applyBorder="1"/>
    <xf numFmtId="165" fontId="41" fillId="0" borderId="12" xfId="0" applyNumberFormat="1" applyFont="1" applyBorder="1"/>
    <xf numFmtId="165" fontId="44" fillId="0" borderId="4" xfId="1" applyFont="1" applyBorder="1" applyAlignment="1">
      <alignment horizontal="center"/>
    </xf>
    <xf numFmtId="165" fontId="42" fillId="0" borderId="1" xfId="1" applyFont="1" applyBorder="1" applyAlignment="1">
      <alignment horizontal="center" wrapText="1"/>
    </xf>
    <xf numFmtId="165" fontId="11" fillId="0" borderId="1" xfId="1" applyFont="1" applyBorder="1" applyAlignment="1">
      <alignment horizontal="right"/>
    </xf>
    <xf numFmtId="165" fontId="17" fillId="0" borderId="18" xfId="1" applyFont="1" applyBorder="1" applyAlignment="1">
      <alignment horizontal="center" wrapText="1"/>
    </xf>
    <xf numFmtId="49" fontId="17" fillId="0" borderId="5" xfId="0" applyNumberFormat="1" applyFont="1" applyBorder="1" applyAlignment="1">
      <alignment horizontal="center"/>
    </xf>
    <xf numFmtId="165" fontId="17" fillId="0" borderId="5" xfId="1" applyFont="1" applyBorder="1" applyAlignment="1">
      <alignment horizontal="center" wrapText="1"/>
    </xf>
    <xf numFmtId="49" fontId="17" fillId="0" borderId="18" xfId="0" applyNumberFormat="1" applyFont="1" applyBorder="1" applyAlignment="1">
      <alignment horizontal="center"/>
    </xf>
    <xf numFmtId="165" fontId="17" fillId="0" borderId="6" xfId="1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vertical="center" wrapText="1"/>
    </xf>
    <xf numFmtId="49" fontId="17" fillId="0" borderId="6" xfId="0" applyNumberFormat="1" applyFont="1" applyBorder="1" applyAlignment="1">
      <alignment horizontal="right"/>
    </xf>
    <xf numFmtId="0" fontId="11" fillId="3" borderId="6" xfId="0" applyFont="1" applyFill="1" applyBorder="1" applyAlignment="1">
      <alignment horizontal="left" wrapText="1"/>
    </xf>
    <xf numFmtId="165" fontId="11" fillId="3" borderId="6" xfId="1" applyFont="1" applyFill="1" applyBorder="1" applyAlignment="1">
      <alignment horizontal="center" wrapText="1"/>
    </xf>
    <xf numFmtId="165" fontId="11" fillId="0" borderId="6" xfId="1" applyFont="1" applyBorder="1" applyAlignment="1">
      <alignment horizontal="right" vertical="center"/>
    </xf>
    <xf numFmtId="49" fontId="17" fillId="0" borderId="9" xfId="0" applyNumberFormat="1" applyFont="1" applyBorder="1" applyAlignment="1">
      <alignment horizontal="center"/>
    </xf>
    <xf numFmtId="0" fontId="29" fillId="0" borderId="4" xfId="0" applyFont="1" applyBorder="1" applyAlignment="1">
      <alignment vertical="center" wrapText="1"/>
    </xf>
    <xf numFmtId="165" fontId="17" fillId="0" borderId="7" xfId="1" applyFont="1" applyBorder="1" applyAlignment="1">
      <alignment horizontal="center"/>
    </xf>
    <xf numFmtId="49" fontId="17" fillId="0" borderId="5" xfId="0" applyNumberFormat="1" applyFont="1" applyBorder="1" applyAlignment="1">
      <alignment horizontal="right"/>
    </xf>
    <xf numFmtId="0" fontId="11" fillId="3" borderId="5" xfId="0" applyFont="1" applyFill="1" applyBorder="1" applyAlignment="1">
      <alignment horizontal="left" wrapText="1"/>
    </xf>
    <xf numFmtId="165" fontId="11" fillId="0" borderId="5" xfId="1" applyFont="1" applyBorder="1" applyAlignment="1">
      <alignment horizontal="right" vertical="center"/>
    </xf>
    <xf numFmtId="165" fontId="14" fillId="0" borderId="4" xfId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165" fontId="42" fillId="0" borderId="6" xfId="1" applyFont="1" applyBorder="1" applyAlignment="1">
      <alignment horizontal="center" wrapText="1"/>
    </xf>
    <xf numFmtId="49" fontId="36" fillId="0" borderId="1" xfId="0" applyNumberFormat="1" applyFont="1" applyBorder="1"/>
    <xf numFmtId="165" fontId="0" fillId="0" borderId="0" xfId="1" applyFont="1" applyAlignment="1">
      <alignment horizontal="center"/>
    </xf>
    <xf numFmtId="0" fontId="43" fillId="3" borderId="5" xfId="0" applyFont="1" applyFill="1" applyBorder="1" applyAlignment="1">
      <alignment horizontal="center" wrapText="1"/>
    </xf>
    <xf numFmtId="49" fontId="16" fillId="0" borderId="25" xfId="0" applyNumberFormat="1" applyFont="1" applyBorder="1"/>
    <xf numFmtId="49" fontId="12" fillId="0" borderId="22" xfId="0" applyNumberFormat="1" applyFont="1" applyBorder="1" applyAlignment="1">
      <alignment horizontal="center"/>
    </xf>
    <xf numFmtId="165" fontId="16" fillId="0" borderId="22" xfId="1" applyFont="1" applyBorder="1" applyAlignment="1">
      <alignment horizontal="center"/>
    </xf>
    <xf numFmtId="165" fontId="43" fillId="0" borderId="26" xfId="1" applyFont="1" applyBorder="1" applyAlignment="1">
      <alignment horizontal="center"/>
    </xf>
    <xf numFmtId="165" fontId="40" fillId="0" borderId="1" xfId="1" applyFont="1" applyBorder="1" applyAlignment="1">
      <alignment horizontal="center"/>
    </xf>
    <xf numFmtId="0" fontId="29" fillId="0" borderId="5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14" fillId="4" borderId="1" xfId="0" applyFont="1" applyFill="1" applyBorder="1" applyAlignment="1">
      <alignment horizontal="center"/>
    </xf>
    <xf numFmtId="0" fontId="40" fillId="0" borderId="18" xfId="0" applyFont="1" applyBorder="1" applyAlignment="1">
      <alignment horizontal="left" wrapText="1"/>
    </xf>
    <xf numFmtId="0" fontId="19" fillId="0" borderId="18" xfId="0" applyFont="1" applyBorder="1" applyAlignment="1">
      <alignment horizontal="center"/>
    </xf>
    <xf numFmtId="165" fontId="12" fillId="0" borderId="18" xfId="0" applyNumberFormat="1" applyFont="1" applyBorder="1" applyAlignment="1">
      <alignment horizontal="center"/>
    </xf>
    <xf numFmtId="0" fontId="40" fillId="0" borderId="6" xfId="0" applyFont="1" applyBorder="1" applyAlignment="1">
      <alignment horizontal="left" wrapText="1"/>
    </xf>
    <xf numFmtId="0" fontId="19" fillId="0" borderId="6" xfId="0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0" fontId="40" fillId="0" borderId="5" xfId="0" applyFont="1" applyBorder="1" applyAlignment="1">
      <alignment horizontal="left" wrapText="1"/>
    </xf>
    <xf numFmtId="0" fontId="19" fillId="0" borderId="5" xfId="0" applyFont="1" applyBorder="1" applyAlignment="1">
      <alignment horizontal="center"/>
    </xf>
    <xf numFmtId="165" fontId="17" fillId="0" borderId="18" xfId="1" applyFont="1" applyBorder="1" applyAlignment="1">
      <alignment horizontal="center"/>
    </xf>
    <xf numFmtId="0" fontId="29" fillId="0" borderId="18" xfId="0" applyFont="1" applyBorder="1" applyAlignment="1">
      <alignment vertical="center" wrapText="1"/>
    </xf>
    <xf numFmtId="0" fontId="16" fillId="0" borderId="12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5" fillId="0" borderId="0" xfId="2" applyFont="1"/>
    <xf numFmtId="0" fontId="0" fillId="0" borderId="1" xfId="0" applyBorder="1"/>
    <xf numFmtId="43" fontId="0" fillId="0" borderId="0" xfId="0" applyNumberFormat="1" applyAlignment="1">
      <alignment horizontal="center"/>
    </xf>
    <xf numFmtId="0" fontId="38" fillId="0" borderId="1" xfId="0" applyFont="1" applyBorder="1"/>
    <xf numFmtId="1" fontId="31" fillId="0" borderId="0" xfId="0" applyNumberFormat="1" applyFont="1" applyAlignment="1">
      <alignment horizontal="center" vertical="center" wrapText="1"/>
    </xf>
    <xf numFmtId="4" fontId="12" fillId="0" borderId="0" xfId="0" applyNumberFormat="1" applyFont="1"/>
    <xf numFmtId="4" fontId="12" fillId="3" borderId="1" xfId="0" applyNumberFormat="1" applyFont="1" applyFill="1" applyBorder="1" applyAlignment="1">
      <alignment horizontal="right" wrapText="1"/>
    </xf>
    <xf numFmtId="0" fontId="22" fillId="0" borderId="1" xfId="0" applyFont="1" applyBorder="1" applyAlignment="1">
      <alignment vertical="center" wrapText="1"/>
    </xf>
    <xf numFmtId="0" fontId="10" fillId="0" borderId="1" xfId="0" applyFont="1" applyBorder="1"/>
    <xf numFmtId="0" fontId="45" fillId="0" borderId="0" xfId="0" applyFont="1"/>
    <xf numFmtId="0" fontId="47" fillId="0" borderId="5" xfId="0" applyFont="1" applyBorder="1"/>
    <xf numFmtId="0" fontId="12" fillId="0" borderId="5" xfId="0" applyFont="1" applyBorder="1" applyAlignment="1">
      <alignment horizontal="center"/>
    </xf>
    <xf numFmtId="0" fontId="48" fillId="2" borderId="5" xfId="0" applyFont="1" applyFill="1" applyBorder="1" applyAlignment="1">
      <alignment horizontal="right" wrapText="1"/>
    </xf>
    <xf numFmtId="0" fontId="12" fillId="0" borderId="5" xfId="0" applyFont="1" applyBorder="1" applyAlignment="1">
      <alignment horizontal="left" wrapText="1"/>
    </xf>
    <xf numFmtId="165" fontId="12" fillId="0" borderId="5" xfId="0" applyNumberFormat="1" applyFont="1" applyBorder="1" applyAlignment="1">
      <alignment horizontal="left"/>
    </xf>
    <xf numFmtId="0" fontId="40" fillId="0" borderId="4" xfId="0" applyFont="1" applyBorder="1" applyAlignment="1">
      <alignment wrapText="1"/>
    </xf>
    <xf numFmtId="0" fontId="12" fillId="0" borderId="4" xfId="0" applyFont="1" applyBorder="1" applyAlignment="1">
      <alignment horizontal="center"/>
    </xf>
    <xf numFmtId="49" fontId="12" fillId="0" borderId="4" xfId="0" applyNumberFormat="1" applyFont="1" applyBorder="1" applyAlignment="1">
      <alignment horizontal="right"/>
    </xf>
    <xf numFmtId="0" fontId="47" fillId="0" borderId="4" xfId="0" applyFont="1" applyBorder="1"/>
    <xf numFmtId="165" fontId="40" fillId="0" borderId="4" xfId="0" applyNumberFormat="1" applyFont="1" applyBorder="1" applyAlignment="1">
      <alignment horizontal="left"/>
    </xf>
    <xf numFmtId="165" fontId="40" fillId="0" borderId="7" xfId="0" applyNumberFormat="1" applyFont="1" applyBorder="1" applyAlignment="1">
      <alignment horizontal="left"/>
    </xf>
    <xf numFmtId="0" fontId="40" fillId="0" borderId="6" xfId="0" applyFont="1" applyBorder="1" applyAlignment="1">
      <alignment wrapText="1"/>
    </xf>
    <xf numFmtId="0" fontId="12" fillId="0" borderId="6" xfId="0" applyFont="1" applyBorder="1" applyAlignment="1">
      <alignment horizontal="center"/>
    </xf>
    <xf numFmtId="49" fontId="12" fillId="0" borderId="6" xfId="0" applyNumberFormat="1" applyFont="1" applyBorder="1"/>
    <xf numFmtId="0" fontId="47" fillId="0" borderId="6" xfId="0" applyFont="1" applyBorder="1" applyAlignment="1">
      <alignment wrapText="1"/>
    </xf>
    <xf numFmtId="165" fontId="40" fillId="0" borderId="6" xfId="0" applyNumberFormat="1" applyFont="1" applyBorder="1" applyAlignment="1">
      <alignment horizontal="left"/>
    </xf>
    <xf numFmtId="0" fontId="40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48" fillId="0" borderId="0" xfId="0" applyFont="1"/>
    <xf numFmtId="0" fontId="12" fillId="0" borderId="1" xfId="0" applyFont="1" applyBorder="1" applyAlignment="1">
      <alignment wrapText="1"/>
    </xf>
    <xf numFmtId="165" fontId="12" fillId="0" borderId="1" xfId="0" applyNumberFormat="1" applyFont="1" applyBorder="1" applyAlignment="1">
      <alignment horizontal="left"/>
    </xf>
    <xf numFmtId="165" fontId="40" fillId="0" borderId="1" xfId="0" applyNumberFormat="1" applyFont="1" applyBorder="1" applyAlignment="1">
      <alignment horizontal="left"/>
    </xf>
    <xf numFmtId="0" fontId="40" fillId="0" borderId="5" xfId="0" applyFont="1" applyBorder="1" applyAlignment="1">
      <alignment wrapText="1"/>
    </xf>
    <xf numFmtId="0" fontId="48" fillId="0" borderId="5" xfId="0" applyFont="1" applyBorder="1"/>
    <xf numFmtId="0" fontId="12" fillId="2" borderId="5" xfId="0" applyFont="1" applyFill="1" applyBorder="1" applyAlignment="1">
      <alignment vertical="center" wrapText="1"/>
    </xf>
    <xf numFmtId="165" fontId="40" fillId="0" borderId="5" xfId="0" applyNumberFormat="1" applyFont="1" applyBorder="1" applyAlignment="1">
      <alignment horizontal="left"/>
    </xf>
    <xf numFmtId="0" fontId="48" fillId="0" borderId="4" xfId="0" applyFont="1" applyBorder="1"/>
    <xf numFmtId="0" fontId="48" fillId="0" borderId="6" xfId="0" applyFont="1" applyBorder="1"/>
    <xf numFmtId="0" fontId="45" fillId="2" borderId="6" xfId="0" applyFont="1" applyFill="1" applyBorder="1" applyAlignment="1">
      <alignment vertical="center" wrapText="1"/>
    </xf>
    <xf numFmtId="165" fontId="12" fillId="0" borderId="6" xfId="0" applyNumberFormat="1" applyFont="1" applyBorder="1" applyAlignment="1">
      <alignment horizontal="left"/>
    </xf>
    <xf numFmtId="0" fontId="40" fillId="0" borderId="18" xfId="0" applyFont="1" applyBorder="1" applyAlignment="1">
      <alignment wrapText="1"/>
    </xf>
    <xf numFmtId="0" fontId="12" fillId="0" borderId="18" xfId="0" applyFont="1" applyBorder="1" applyAlignment="1">
      <alignment horizontal="center"/>
    </xf>
    <xf numFmtId="0" fontId="12" fillId="0" borderId="18" xfId="0" applyFont="1" applyBorder="1"/>
    <xf numFmtId="0" fontId="12" fillId="2" borderId="18" xfId="0" applyFont="1" applyFill="1" applyBorder="1" applyAlignment="1">
      <alignment wrapText="1"/>
    </xf>
    <xf numFmtId="165" fontId="12" fillId="0" borderId="18" xfId="0" applyNumberFormat="1" applyFont="1" applyBorder="1" applyAlignment="1">
      <alignment horizontal="left"/>
    </xf>
    <xf numFmtId="165" fontId="40" fillId="0" borderId="4" xfId="0" applyNumberFormat="1" applyFont="1" applyBorder="1" applyAlignment="1">
      <alignment horizontal="center"/>
    </xf>
    <xf numFmtId="165" fontId="40" fillId="0" borderId="7" xfId="0" applyNumberFormat="1" applyFont="1" applyBorder="1" applyAlignment="1">
      <alignment horizontal="center"/>
    </xf>
    <xf numFmtId="0" fontId="12" fillId="0" borderId="4" xfId="0" applyFont="1" applyBorder="1"/>
    <xf numFmtId="0" fontId="12" fillId="0" borderId="6" xfId="0" applyFont="1" applyBorder="1"/>
    <xf numFmtId="165" fontId="40" fillId="0" borderId="6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165" fontId="16" fillId="0" borderId="0" xfId="0" applyNumberFormat="1" applyFont="1" applyAlignment="1">
      <alignment horizontal="center"/>
    </xf>
    <xf numFmtId="0" fontId="46" fillId="2" borderId="1" xfId="0" applyFont="1" applyFill="1" applyBorder="1" applyAlignment="1">
      <alignment horizontal="left" vertical="center" wrapText="1"/>
    </xf>
    <xf numFmtId="165" fontId="16" fillId="0" borderId="5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4" fontId="38" fillId="2" borderId="5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165" fontId="44" fillId="0" borderId="6" xfId="1" applyFont="1" applyBorder="1" applyAlignment="1">
      <alignment horizontal="center"/>
    </xf>
    <xf numFmtId="49" fontId="16" fillId="0" borderId="14" xfId="0" applyNumberFormat="1" applyFont="1" applyBorder="1"/>
    <xf numFmtId="49" fontId="12" fillId="0" borderId="12" xfId="0" applyNumberFormat="1" applyFont="1" applyBorder="1" applyAlignment="1">
      <alignment horizontal="center"/>
    </xf>
    <xf numFmtId="165" fontId="34" fillId="0" borderId="12" xfId="1" applyFont="1" applyBorder="1" applyAlignment="1">
      <alignment horizontal="center"/>
    </xf>
    <xf numFmtId="165" fontId="43" fillId="0" borderId="16" xfId="1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166" fontId="18" fillId="0" borderId="14" xfId="0" applyNumberFormat="1" applyFont="1" applyBorder="1"/>
    <xf numFmtId="4" fontId="18" fillId="0" borderId="12" xfId="0" applyNumberFormat="1" applyFont="1" applyBorder="1"/>
    <xf numFmtId="4" fontId="21" fillId="0" borderId="16" xfId="0" applyNumberFormat="1" applyFont="1" applyBorder="1"/>
    <xf numFmtId="0" fontId="35" fillId="0" borderId="1" xfId="0" applyFont="1" applyBorder="1" applyAlignment="1">
      <alignment horizontal="left" vertical="center"/>
    </xf>
    <xf numFmtId="4" fontId="35" fillId="0" borderId="1" xfId="0" applyNumberFormat="1" applyFont="1" applyBorder="1" applyAlignment="1">
      <alignment horizontal="right" vertical="center"/>
    </xf>
    <xf numFmtId="0" fontId="35" fillId="0" borderId="5" xfId="0" applyFont="1" applyBorder="1" applyAlignment="1">
      <alignment horizontal="left" vertical="center"/>
    </xf>
    <xf numFmtId="4" fontId="35" fillId="0" borderId="5" xfId="0" applyNumberFormat="1" applyFont="1" applyBorder="1" applyAlignment="1">
      <alignment horizontal="right" vertical="center"/>
    </xf>
    <xf numFmtId="0" fontId="17" fillId="0" borderId="19" xfId="0" applyFont="1" applyBorder="1"/>
    <xf numFmtId="0" fontId="17" fillId="0" borderId="10" xfId="0" applyFont="1" applyBorder="1"/>
    <xf numFmtId="0" fontId="17" fillId="0" borderId="4" xfId="0" applyFont="1" applyBorder="1"/>
    <xf numFmtId="49" fontId="17" fillId="0" borderId="15" xfId="0" applyNumberFormat="1" applyFont="1" applyBorder="1"/>
    <xf numFmtId="0" fontId="15" fillId="0" borderId="4" xfId="0" applyFont="1" applyBorder="1" applyAlignment="1">
      <alignment vertical="center" wrapText="1"/>
    </xf>
    <xf numFmtId="0" fontId="5" fillId="0" borderId="7" xfId="0" applyFont="1" applyBorder="1"/>
    <xf numFmtId="0" fontId="3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165" fontId="17" fillId="0" borderId="1" xfId="1" applyFont="1" applyBorder="1" applyAlignment="1">
      <alignment horizontal="left"/>
    </xf>
    <xf numFmtId="165" fontId="16" fillId="0" borderId="18" xfId="0" applyNumberFormat="1" applyFont="1" applyBorder="1" applyAlignment="1">
      <alignment horizontal="center"/>
    </xf>
    <xf numFmtId="0" fontId="49" fillId="0" borderId="1" xfId="0" applyFont="1" applyBorder="1" applyAlignment="1">
      <alignment horizontal="left"/>
    </xf>
    <xf numFmtId="165" fontId="16" fillId="0" borderId="10" xfId="1" applyFont="1" applyBorder="1"/>
    <xf numFmtId="165" fontId="15" fillId="0" borderId="1" xfId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right" vertical="center"/>
    </xf>
    <xf numFmtId="0" fontId="46" fillId="2" borderId="6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/>
    </xf>
    <xf numFmtId="0" fontId="15" fillId="0" borderId="1" xfId="0" applyFont="1" applyBorder="1" applyAlignment="1">
      <alignment horizontal="right"/>
    </xf>
    <xf numFmtId="165" fontId="15" fillId="0" borderId="1" xfId="0" applyNumberFormat="1" applyFont="1" applyBorder="1"/>
    <xf numFmtId="165" fontId="15" fillId="0" borderId="1" xfId="1" applyFont="1" applyBorder="1" applyAlignment="1">
      <alignment horizontal="center" vertical="center" wrapText="1"/>
    </xf>
    <xf numFmtId="4" fontId="50" fillId="3" borderId="0" xfId="0" applyNumberFormat="1" applyFont="1" applyFill="1" applyAlignment="1">
      <alignment horizontal="right" vertical="center"/>
    </xf>
    <xf numFmtId="165" fontId="11" fillId="2" borderId="5" xfId="1" applyFont="1" applyFill="1" applyBorder="1" applyAlignment="1">
      <alignment horizontal="right" wrapText="1"/>
    </xf>
    <xf numFmtId="165" fontId="15" fillId="0" borderId="4" xfId="1" applyFont="1" applyBorder="1" applyAlignment="1">
      <alignment horizontal="center"/>
    </xf>
    <xf numFmtId="0" fontId="35" fillId="0" borderId="28" xfId="0" applyFont="1" applyBorder="1" applyAlignment="1">
      <alignment vertical="center"/>
    </xf>
    <xf numFmtId="0" fontId="29" fillId="0" borderId="28" xfId="0" applyFont="1" applyBorder="1" applyAlignment="1">
      <alignment vertical="center"/>
    </xf>
    <xf numFmtId="0" fontId="52" fillId="0" borderId="28" xfId="0" applyFont="1" applyBorder="1" applyAlignment="1">
      <alignment vertical="center"/>
    </xf>
    <xf numFmtId="49" fontId="16" fillId="0" borderId="30" xfId="0" applyNumberFormat="1" applyFont="1" applyBorder="1"/>
    <xf numFmtId="0" fontId="16" fillId="0" borderId="18" xfId="0" applyFont="1" applyBorder="1" applyAlignment="1">
      <alignment horizontal="left" vertical="center" wrapText="1"/>
    </xf>
    <xf numFmtId="165" fontId="16" fillId="0" borderId="18" xfId="1" applyFont="1" applyBorder="1" applyAlignment="1">
      <alignment horizontal="center" wrapText="1"/>
    </xf>
    <xf numFmtId="165" fontId="43" fillId="0" borderId="21" xfId="1" applyFont="1" applyBorder="1" applyAlignment="1">
      <alignment horizontal="center"/>
    </xf>
    <xf numFmtId="4" fontId="51" fillId="0" borderId="0" xfId="0" applyNumberFormat="1" applyFont="1" applyAlignment="1">
      <alignment horizontal="center" vertical="center" wrapText="1"/>
    </xf>
    <xf numFmtId="165" fontId="0" fillId="0" borderId="0" xfId="1" applyFont="1" applyFill="1" applyBorder="1"/>
    <xf numFmtId="0" fontId="29" fillId="0" borderId="0" xfId="0" applyFont="1" applyAlignment="1">
      <alignment vertical="center"/>
    </xf>
    <xf numFmtId="49" fontId="29" fillId="0" borderId="0" xfId="0" applyNumberFormat="1" applyFont="1" applyAlignment="1">
      <alignment vertical="center" wrapText="1"/>
    </xf>
    <xf numFmtId="0" fontId="3" fillId="0" borderId="0" xfId="0" applyFont="1"/>
    <xf numFmtId="0" fontId="54" fillId="6" borderId="27" xfId="0" applyFont="1" applyFill="1" applyBorder="1" applyAlignment="1">
      <alignment vertical="center" wrapText="1"/>
    </xf>
    <xf numFmtId="0" fontId="54" fillId="6" borderId="28" xfId="0" applyFont="1" applyFill="1" applyBorder="1" applyAlignment="1">
      <alignment vertical="center" wrapText="1"/>
    </xf>
    <xf numFmtId="4" fontId="54" fillId="6" borderId="28" xfId="0" applyNumberFormat="1" applyFont="1" applyFill="1" applyBorder="1" applyAlignment="1">
      <alignment horizontal="center" vertical="center" wrapText="1"/>
    </xf>
    <xf numFmtId="0" fontId="29" fillId="7" borderId="27" xfId="0" applyFont="1" applyFill="1" applyBorder="1" applyAlignment="1">
      <alignment vertical="center"/>
    </xf>
    <xf numFmtId="0" fontId="29" fillId="7" borderId="28" xfId="0" applyFont="1" applyFill="1" applyBorder="1" applyAlignment="1">
      <alignment vertical="center"/>
    </xf>
    <xf numFmtId="4" fontId="29" fillId="7" borderId="28" xfId="0" applyNumberFormat="1" applyFont="1" applyFill="1" applyBorder="1" applyAlignment="1">
      <alignment horizontal="right" vertical="center"/>
    </xf>
    <xf numFmtId="0" fontId="29" fillId="0" borderId="27" xfId="0" applyFont="1" applyBorder="1" applyAlignment="1">
      <alignment vertical="center"/>
    </xf>
    <xf numFmtId="4" fontId="29" fillId="0" borderId="28" xfId="0" applyNumberFormat="1" applyFont="1" applyBorder="1" applyAlignment="1">
      <alignment horizontal="right" vertical="center"/>
    </xf>
    <xf numFmtId="0" fontId="35" fillId="0" borderId="27" xfId="0" applyFont="1" applyBorder="1" applyAlignment="1">
      <alignment vertical="center"/>
    </xf>
    <xf numFmtId="4" fontId="19" fillId="0" borderId="28" xfId="0" applyNumberFormat="1" applyFont="1" applyBorder="1" applyAlignment="1">
      <alignment horizontal="right" vertical="center"/>
    </xf>
    <xf numFmtId="49" fontId="35" fillId="0" borderId="27" xfId="0" applyNumberFormat="1" applyFont="1" applyBorder="1" applyAlignment="1">
      <alignment vertical="center"/>
    </xf>
    <xf numFmtId="0" fontId="29" fillId="8" borderId="31" xfId="0" applyFont="1" applyFill="1" applyBorder="1" applyAlignment="1">
      <alignment horizontal="center" vertical="center" wrapText="1"/>
    </xf>
    <xf numFmtId="0" fontId="29" fillId="8" borderId="29" xfId="0" applyFont="1" applyFill="1" applyBorder="1" applyAlignment="1">
      <alignment horizontal="center" vertical="center" wrapText="1"/>
    </xf>
    <xf numFmtId="49" fontId="35" fillId="0" borderId="27" xfId="0" applyNumberFormat="1" applyFont="1" applyBorder="1" applyAlignment="1">
      <alignment horizontal="right" vertical="center"/>
    </xf>
    <xf numFmtId="0" fontId="35" fillId="0" borderId="32" xfId="0" applyFont="1" applyBorder="1" applyAlignment="1">
      <alignment vertical="center"/>
    </xf>
    <xf numFmtId="0" fontId="35" fillId="0" borderId="33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29" xfId="0" applyFont="1" applyBorder="1" applyAlignment="1">
      <alignment vertical="center"/>
    </xf>
    <xf numFmtId="0" fontId="35" fillId="0" borderId="31" xfId="0" applyFont="1" applyBorder="1" applyAlignment="1">
      <alignment vertical="center"/>
    </xf>
    <xf numFmtId="0" fontId="55" fillId="0" borderId="0" xfId="0" applyFont="1" applyAlignment="1">
      <alignment horizontal="right" vertical="center"/>
    </xf>
    <xf numFmtId="0" fontId="35" fillId="0" borderId="1" xfId="0" applyFont="1" applyBorder="1" applyAlignment="1">
      <alignment vertical="center"/>
    </xf>
    <xf numFmtId="0" fontId="17" fillId="3" borderId="29" xfId="0" applyFont="1" applyFill="1" applyBorder="1" applyAlignment="1">
      <alignment horizontal="left" wrapText="1"/>
    </xf>
    <xf numFmtId="0" fontId="29" fillId="0" borderId="29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21" fillId="0" borderId="1" xfId="0" applyFont="1" applyBorder="1" applyAlignment="1">
      <alignment horizontal="left"/>
    </xf>
    <xf numFmtId="165" fontId="11" fillId="0" borderId="3" xfId="1" applyFont="1" applyBorder="1"/>
    <xf numFmtId="0" fontId="38" fillId="0" borderId="1" xfId="0" applyFont="1" applyBorder="1" applyAlignment="1">
      <alignment vertical="center"/>
    </xf>
    <xf numFmtId="0" fontId="21" fillId="0" borderId="0" xfId="0" applyFont="1"/>
    <xf numFmtId="0" fontId="38" fillId="2" borderId="1" xfId="0" applyFont="1" applyFill="1" applyBorder="1" applyAlignment="1">
      <alignment horizontal="left" vertical="center" wrapText="1"/>
    </xf>
    <xf numFmtId="0" fontId="38" fillId="0" borderId="5" xfId="0" applyFont="1" applyBorder="1" applyAlignment="1">
      <alignment vertical="center" wrapText="1"/>
    </xf>
    <xf numFmtId="0" fontId="11" fillId="0" borderId="5" xfId="0" applyFont="1" applyBorder="1"/>
    <xf numFmtId="0" fontId="11" fillId="0" borderId="9" xfId="0" applyFont="1" applyBorder="1"/>
    <xf numFmtId="0" fontId="16" fillId="0" borderId="4" xfId="0" applyFont="1" applyBorder="1" applyAlignment="1">
      <alignment horizontal="right" wrapText="1"/>
    </xf>
    <xf numFmtId="165" fontId="16" fillId="0" borderId="4" xfId="0" applyNumberFormat="1" applyFont="1" applyBorder="1"/>
    <xf numFmtId="165" fontId="16" fillId="0" borderId="7" xfId="0" applyNumberFormat="1" applyFont="1" applyBorder="1"/>
    <xf numFmtId="49" fontId="38" fillId="2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left"/>
    </xf>
    <xf numFmtId="164" fontId="0" fillId="0" borderId="0" xfId="0" applyNumberFormat="1"/>
    <xf numFmtId="0" fontId="38" fillId="0" borderId="1" xfId="0" applyFont="1" applyBorder="1" applyAlignment="1">
      <alignment horizontal="left" vertical="center"/>
    </xf>
    <xf numFmtId="4" fontId="45" fillId="2" borderId="1" xfId="0" applyNumberFormat="1" applyFont="1" applyFill="1" applyBorder="1" applyAlignment="1">
      <alignment horizontal="right" vertical="center" wrapText="1"/>
    </xf>
    <xf numFmtId="164" fontId="8" fillId="0" borderId="0" xfId="0" applyNumberFormat="1" applyFont="1"/>
    <xf numFmtId="0" fontId="28" fillId="0" borderId="0" xfId="0" applyFont="1"/>
    <xf numFmtId="0" fontId="21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horizontal="right" vertical="center" wrapText="1"/>
    </xf>
    <xf numFmtId="164" fontId="17" fillId="0" borderId="1" xfId="0" applyNumberFormat="1" applyFont="1" applyBorder="1"/>
    <xf numFmtId="165" fontId="17" fillId="2" borderId="1" xfId="1" applyFont="1" applyFill="1" applyBorder="1" applyAlignment="1">
      <alignment horizontal="right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 wrapText="1"/>
    </xf>
    <xf numFmtId="165" fontId="17" fillId="2" borderId="5" xfId="1" applyFont="1" applyFill="1" applyBorder="1" applyAlignment="1">
      <alignment horizontal="right" vertical="center" wrapText="1"/>
    </xf>
    <xf numFmtId="164" fontId="17" fillId="0" borderId="5" xfId="0" applyNumberFormat="1" applyFont="1" applyBorder="1"/>
    <xf numFmtId="4" fontId="14" fillId="3" borderId="4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Border="1"/>
    <xf numFmtId="165" fontId="11" fillId="0" borderId="1" xfId="1" applyFont="1" applyBorder="1" applyAlignment="1">
      <alignment horizontal="left"/>
    </xf>
    <xf numFmtId="165" fontId="12" fillId="0" borderId="1" xfId="1" applyFont="1" applyBorder="1"/>
    <xf numFmtId="164" fontId="45" fillId="0" borderId="1" xfId="0" applyNumberFormat="1" applyFont="1" applyBorder="1"/>
    <xf numFmtId="164" fontId="12" fillId="0" borderId="1" xfId="0" applyNumberFormat="1" applyFont="1" applyBorder="1"/>
    <xf numFmtId="4" fontId="45" fillId="2" borderId="18" xfId="0" applyNumberFormat="1" applyFont="1" applyFill="1" applyBorder="1" applyAlignment="1">
      <alignment horizontal="right" vertical="center" wrapText="1"/>
    </xf>
    <xf numFmtId="165" fontId="45" fillId="2" borderId="6" xfId="1" applyFont="1" applyFill="1" applyBorder="1" applyAlignment="1">
      <alignment horizontal="right" vertical="center" wrapText="1"/>
    </xf>
    <xf numFmtId="4" fontId="45" fillId="2" borderId="6" xfId="0" applyNumberFormat="1" applyFont="1" applyFill="1" applyBorder="1" applyAlignment="1">
      <alignment horizontal="right" vertical="center" wrapText="1"/>
    </xf>
    <xf numFmtId="4" fontId="12" fillId="2" borderId="1" xfId="0" applyNumberFormat="1" applyFont="1" applyFill="1" applyBorder="1" applyAlignment="1">
      <alignment horizontal="right" vertical="center" wrapText="1"/>
    </xf>
    <xf numFmtId="165" fontId="19" fillId="0" borderId="28" xfId="1" applyFont="1" applyBorder="1" applyAlignment="1">
      <alignment horizontal="right" vertical="center"/>
    </xf>
    <xf numFmtId="165" fontId="19" fillId="0" borderId="31" xfId="1" applyFont="1" applyBorder="1" applyAlignment="1">
      <alignment horizontal="right" vertical="center"/>
    </xf>
    <xf numFmtId="4" fontId="19" fillId="0" borderId="31" xfId="0" applyNumberFormat="1" applyFont="1" applyBorder="1" applyAlignment="1">
      <alignment horizontal="right" vertical="center"/>
    </xf>
    <xf numFmtId="165" fontId="19" fillId="0" borderId="0" xfId="1" applyFont="1" applyBorder="1" applyAlignment="1">
      <alignment horizontal="right" vertical="center"/>
    </xf>
    <xf numFmtId="4" fontId="19" fillId="0" borderId="0" xfId="0" applyNumberFormat="1" applyFont="1" applyAlignment="1">
      <alignment horizontal="right" vertical="center"/>
    </xf>
    <xf numFmtId="4" fontId="13" fillId="0" borderId="28" xfId="0" applyNumberFormat="1" applyFont="1" applyBorder="1" applyAlignment="1">
      <alignment horizontal="right" vertical="center"/>
    </xf>
    <xf numFmtId="165" fontId="19" fillId="0" borderId="33" xfId="1" applyFont="1" applyBorder="1" applyAlignment="1">
      <alignment horizontal="right" vertical="center"/>
    </xf>
    <xf numFmtId="4" fontId="19" fillId="0" borderId="33" xfId="0" applyNumberFormat="1" applyFont="1" applyBorder="1" applyAlignment="1">
      <alignment horizontal="right" vertical="center"/>
    </xf>
    <xf numFmtId="165" fontId="19" fillId="0" borderId="1" xfId="1" applyFont="1" applyBorder="1" applyAlignment="1">
      <alignment horizontal="right" vertical="center"/>
    </xf>
    <xf numFmtId="4" fontId="19" fillId="0" borderId="1" xfId="0" applyNumberFormat="1" applyFont="1" applyBorder="1" applyAlignment="1">
      <alignment horizontal="right" vertical="center"/>
    </xf>
    <xf numFmtId="4" fontId="13" fillId="7" borderId="28" xfId="0" applyNumberFormat="1" applyFont="1" applyFill="1" applyBorder="1" applyAlignment="1">
      <alignment horizontal="right" vertical="center"/>
    </xf>
    <xf numFmtId="165" fontId="13" fillId="0" borderId="28" xfId="1" applyFont="1" applyBorder="1" applyAlignment="1">
      <alignment horizontal="right" vertical="center"/>
    </xf>
    <xf numFmtId="165" fontId="13" fillId="7" borderId="28" xfId="1" applyFont="1" applyFill="1" applyBorder="1" applyAlignment="1">
      <alignment horizontal="right" vertical="center"/>
    </xf>
    <xf numFmtId="0" fontId="19" fillId="0" borderId="28" xfId="0" applyFont="1" applyBorder="1" applyAlignment="1">
      <alignment horizontal="right" vertical="center"/>
    </xf>
    <xf numFmtId="0" fontId="19" fillId="0" borderId="31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4" fontId="13" fillId="0" borderId="31" xfId="0" applyNumberFormat="1" applyFont="1" applyBorder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0" fontId="11" fillId="3" borderId="1" xfId="0" applyFont="1" applyFill="1" applyBorder="1" applyAlignment="1">
      <alignment horizontal="center"/>
    </xf>
    <xf numFmtId="165" fontId="11" fillId="3" borderId="1" xfId="1" applyFont="1" applyFill="1" applyBorder="1" applyAlignment="1">
      <alignment horizontal="left"/>
    </xf>
    <xf numFmtId="49" fontId="11" fillId="3" borderId="1" xfId="0" applyNumberFormat="1" applyFont="1" applyFill="1" applyBorder="1" applyAlignment="1">
      <alignment horizontal="center"/>
    </xf>
    <xf numFmtId="165" fontId="11" fillId="3" borderId="1" xfId="1" applyFont="1" applyFill="1" applyBorder="1" applyAlignment="1">
      <alignment horizontal="right" wrapText="1"/>
    </xf>
    <xf numFmtId="49" fontId="11" fillId="3" borderId="1" xfId="0" applyNumberFormat="1" applyFont="1" applyFill="1" applyBorder="1" applyAlignment="1">
      <alignment horizontal="center" wrapText="1"/>
    </xf>
    <xf numFmtId="49" fontId="16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49" fontId="11" fillId="0" borderId="1" xfId="1" applyNumberFormat="1" applyFont="1" applyBorder="1" applyAlignment="1">
      <alignment horizontal="center"/>
    </xf>
    <xf numFmtId="0" fontId="38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8" fillId="3" borderId="1" xfId="0" applyFont="1" applyFill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/>
    <xf numFmtId="0" fontId="12" fillId="0" borderId="2" xfId="0" applyFont="1" applyBorder="1" applyAlignment="1">
      <alignment wrapText="1"/>
    </xf>
    <xf numFmtId="165" fontId="16" fillId="0" borderId="12" xfId="1" applyFont="1" applyBorder="1" applyAlignment="1">
      <alignment horizontal="center" wrapText="1"/>
    </xf>
    <xf numFmtId="49" fontId="11" fillId="0" borderId="1" xfId="0" applyNumberFormat="1" applyFont="1" applyBorder="1"/>
    <xf numFmtId="165" fontId="33" fillId="0" borderId="1" xfId="1" applyFont="1" applyBorder="1" applyAlignment="1">
      <alignment horizontal="center" wrapText="1"/>
    </xf>
    <xf numFmtId="49" fontId="19" fillId="0" borderId="27" xfId="0" applyNumberFormat="1" applyFont="1" applyBorder="1" applyAlignment="1">
      <alignment horizontal="left" vertical="center"/>
    </xf>
    <xf numFmtId="0" fontId="19" fillId="0" borderId="28" xfId="0" applyFont="1" applyBorder="1" applyAlignment="1">
      <alignment vertical="center"/>
    </xf>
    <xf numFmtId="165" fontId="56" fillId="0" borderId="1" xfId="1" applyFont="1" applyBorder="1"/>
    <xf numFmtId="164" fontId="56" fillId="0" borderId="1" xfId="0" applyNumberFormat="1" applyFont="1" applyBorder="1"/>
    <xf numFmtId="0" fontId="16" fillId="0" borderId="0" xfId="0" applyFont="1" applyAlignment="1">
      <alignment horizontal="right"/>
    </xf>
    <xf numFmtId="4" fontId="16" fillId="0" borderId="0" xfId="0" applyNumberFormat="1" applyFont="1"/>
    <xf numFmtId="0" fontId="21" fillId="0" borderId="0" xfId="0" applyFont="1" applyAlignment="1">
      <alignment horizontal="center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4" xfId="0" applyFont="1" applyFill="1" applyBorder="1" applyAlignment="1">
      <alignment horizontal="right" vertical="center" wrapText="1"/>
    </xf>
    <xf numFmtId="0" fontId="21" fillId="0" borderId="2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14" fillId="0" borderId="9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21" fillId="0" borderId="1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1" fontId="6" fillId="0" borderId="0" xfId="0" applyNumberFormat="1" applyFont="1" applyAlignment="1">
      <alignment horizontal="center" vertical="center" wrapText="1"/>
    </xf>
    <xf numFmtId="4" fontId="31" fillId="0" borderId="0" xfId="0" applyNumberFormat="1" applyFont="1" applyAlignment="1">
      <alignment horizontal="center" vertical="center" wrapText="1"/>
    </xf>
    <xf numFmtId="1" fontId="31" fillId="0" borderId="0" xfId="0" applyNumberFormat="1" applyFont="1" applyAlignment="1">
      <alignment horizontal="center" vertical="center" wrapText="1"/>
    </xf>
    <xf numFmtId="166" fontId="31" fillId="0" borderId="0" xfId="0" applyNumberFormat="1" applyFont="1" applyAlignment="1">
      <alignment horizontal="left" vertical="center"/>
    </xf>
    <xf numFmtId="165" fontId="15" fillId="0" borderId="2" xfId="0" applyNumberFormat="1" applyFont="1" applyBorder="1" applyAlignment="1">
      <alignment horizontal="center"/>
    </xf>
    <xf numFmtId="165" fontId="15" fillId="0" borderId="17" xfId="0" applyNumberFormat="1" applyFont="1" applyBorder="1" applyAlignment="1">
      <alignment horizontal="center"/>
    </xf>
    <xf numFmtId="165" fontId="15" fillId="0" borderId="3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" fillId="0" borderId="19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0" fontId="14" fillId="0" borderId="24" xfId="0" applyFont="1" applyBorder="1" applyAlignment="1">
      <alignment horizontal="right"/>
    </xf>
    <xf numFmtId="0" fontId="20" fillId="0" borderId="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53" fillId="0" borderId="0" xfId="0" applyFont="1" applyAlignment="1">
      <alignment horizontal="center" vertical="center"/>
    </xf>
    <xf numFmtId="49" fontId="53" fillId="0" borderId="0" xfId="0" applyNumberFormat="1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1407"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zoomScale="90" zoomScaleNormal="90" workbookViewId="0">
      <selection activeCell="J13" sqref="J13"/>
    </sheetView>
  </sheetViews>
  <sheetFormatPr defaultRowHeight="14.4" x14ac:dyDescent="0.3"/>
  <cols>
    <col min="1" max="1" width="4.5546875" customWidth="1"/>
    <col min="2" max="2" width="12.44140625" customWidth="1"/>
    <col min="3" max="3" width="43.33203125" customWidth="1"/>
    <col min="4" max="4" width="18.33203125" customWidth="1"/>
    <col min="5" max="5" width="18.109375" customWidth="1"/>
    <col min="6" max="6" width="19.109375" customWidth="1"/>
    <col min="7" max="7" width="12.5546875" customWidth="1"/>
  </cols>
  <sheetData>
    <row r="1" spans="1:7" x14ac:dyDescent="0.3">
      <c r="A1" s="558" t="s">
        <v>5</v>
      </c>
      <c r="B1" s="558"/>
      <c r="C1" s="558"/>
      <c r="D1" s="558"/>
      <c r="E1" s="558"/>
      <c r="F1" s="558"/>
      <c r="G1" s="558"/>
    </row>
    <row r="2" spans="1:7" x14ac:dyDescent="0.3">
      <c r="A2" s="558" t="s">
        <v>1153</v>
      </c>
      <c r="B2" s="558"/>
      <c r="C2" s="558"/>
      <c r="D2" s="558"/>
      <c r="E2" s="558"/>
      <c r="F2" s="558"/>
      <c r="G2" s="558"/>
    </row>
    <row r="3" spans="1:7" x14ac:dyDescent="0.3">
      <c r="A3" s="496"/>
      <c r="B3" s="496"/>
      <c r="C3" s="496"/>
      <c r="D3" s="496"/>
      <c r="E3" s="496"/>
      <c r="F3" s="496"/>
      <c r="G3" s="496"/>
    </row>
    <row r="4" spans="1:7" x14ac:dyDescent="0.3">
      <c r="A4" s="558" t="s">
        <v>1087</v>
      </c>
      <c r="B4" s="558"/>
      <c r="C4" s="558"/>
      <c r="D4" s="558"/>
      <c r="E4" s="558"/>
      <c r="F4" s="558"/>
      <c r="G4" s="558"/>
    </row>
    <row r="5" spans="1:7" ht="43.5" customHeight="1" x14ac:dyDescent="0.3">
      <c r="A5" s="103" t="s">
        <v>0</v>
      </c>
      <c r="B5" s="102" t="s">
        <v>206</v>
      </c>
      <c r="C5" s="103" t="s">
        <v>17</v>
      </c>
      <c r="D5" s="102" t="s">
        <v>468</v>
      </c>
      <c r="E5" s="102" t="s">
        <v>205</v>
      </c>
      <c r="F5" s="102" t="s">
        <v>1154</v>
      </c>
      <c r="G5" s="102" t="s">
        <v>46</v>
      </c>
    </row>
    <row r="6" spans="1:7" ht="18" customHeight="1" x14ac:dyDescent="0.3">
      <c r="A6" s="497">
        <v>1</v>
      </c>
      <c r="B6" s="497">
        <v>11010101</v>
      </c>
      <c r="C6" s="498" t="s">
        <v>207</v>
      </c>
      <c r="D6" s="499">
        <v>33242755920</v>
      </c>
      <c r="E6" s="501">
        <v>0</v>
      </c>
      <c r="F6" s="500">
        <f t="shared" ref="F6:F21" si="0">D6+E6</f>
        <v>33242755920</v>
      </c>
      <c r="G6" s="165"/>
    </row>
    <row r="7" spans="1:7" ht="18" customHeight="1" x14ac:dyDescent="0.3">
      <c r="A7" s="497">
        <v>2</v>
      </c>
      <c r="B7" s="497">
        <v>12</v>
      </c>
      <c r="C7" s="498" t="s">
        <v>1067</v>
      </c>
      <c r="D7" s="499">
        <v>30945804154.91</v>
      </c>
      <c r="E7" s="501">
        <v>0</v>
      </c>
      <c r="F7" s="500">
        <f t="shared" si="0"/>
        <v>30945804154.91</v>
      </c>
      <c r="G7" s="165"/>
    </row>
    <row r="8" spans="1:7" ht="18" customHeight="1" x14ac:dyDescent="0.3">
      <c r="A8" s="497">
        <v>3</v>
      </c>
      <c r="B8" s="497">
        <v>11010201</v>
      </c>
      <c r="C8" s="498" t="s">
        <v>209</v>
      </c>
      <c r="D8" s="499">
        <v>12120000000</v>
      </c>
      <c r="E8" s="253">
        <v>12200000000</v>
      </c>
      <c r="F8" s="500">
        <f t="shared" si="0"/>
        <v>24320000000</v>
      </c>
      <c r="G8" s="165"/>
    </row>
    <row r="9" spans="1:7" ht="18" customHeight="1" x14ac:dyDescent="0.3">
      <c r="A9" s="497">
        <v>4</v>
      </c>
      <c r="B9" s="497">
        <v>14020203</v>
      </c>
      <c r="C9" s="498" t="s">
        <v>1076</v>
      </c>
      <c r="D9" s="499">
        <v>17680564548.380001</v>
      </c>
      <c r="E9" s="501">
        <v>0</v>
      </c>
      <c r="F9" s="500">
        <f t="shared" si="0"/>
        <v>17680564548.380001</v>
      </c>
      <c r="G9" s="165"/>
    </row>
    <row r="10" spans="1:7" ht="18" customHeight="1" x14ac:dyDescent="0.3">
      <c r="A10" s="497">
        <v>5</v>
      </c>
      <c r="B10" s="497">
        <v>11010104</v>
      </c>
      <c r="C10" s="498" t="s">
        <v>537</v>
      </c>
      <c r="D10" s="499">
        <v>2200000000</v>
      </c>
      <c r="E10" s="501">
        <v>0</v>
      </c>
      <c r="F10" s="500">
        <f t="shared" si="0"/>
        <v>2200000000</v>
      </c>
      <c r="G10" s="165"/>
    </row>
    <row r="11" spans="1:7" ht="18" customHeight="1" x14ac:dyDescent="0.3">
      <c r="A11" s="497">
        <v>6</v>
      </c>
      <c r="B11" s="497">
        <v>11010106</v>
      </c>
      <c r="C11" s="498" t="s">
        <v>208</v>
      </c>
      <c r="D11" s="499">
        <v>12480288528</v>
      </c>
      <c r="E11" s="501">
        <v>0</v>
      </c>
      <c r="F11" s="500">
        <f t="shared" si="0"/>
        <v>12480288528</v>
      </c>
      <c r="G11" s="165"/>
    </row>
    <row r="12" spans="1:7" ht="18" customHeight="1" x14ac:dyDescent="0.3">
      <c r="A12" s="497">
        <v>7</v>
      </c>
      <c r="B12" s="497">
        <v>14100101</v>
      </c>
      <c r="C12" s="498" t="s">
        <v>1068</v>
      </c>
      <c r="D12" s="501">
        <v>0</v>
      </c>
      <c r="E12" s="501">
        <v>0</v>
      </c>
      <c r="F12" s="500">
        <f t="shared" si="0"/>
        <v>0</v>
      </c>
      <c r="G12" s="165"/>
    </row>
    <row r="13" spans="1:7" ht="27.75" customHeight="1" x14ac:dyDescent="0.3">
      <c r="A13" s="497">
        <v>8</v>
      </c>
      <c r="B13" s="497">
        <v>14050201</v>
      </c>
      <c r="C13" s="498" t="s">
        <v>1066</v>
      </c>
      <c r="D13" s="501">
        <v>0</v>
      </c>
      <c r="E13" s="501">
        <v>0</v>
      </c>
      <c r="F13" s="500">
        <f t="shared" si="0"/>
        <v>0</v>
      </c>
      <c r="G13" s="165"/>
    </row>
    <row r="14" spans="1:7" ht="18" customHeight="1" x14ac:dyDescent="0.3">
      <c r="A14" s="497">
        <v>9</v>
      </c>
      <c r="B14" s="497">
        <v>11010301</v>
      </c>
      <c r="C14" s="498" t="s">
        <v>210</v>
      </c>
      <c r="D14" s="499">
        <v>8060000000.3999996</v>
      </c>
      <c r="E14" s="501">
        <v>0</v>
      </c>
      <c r="F14" s="500">
        <f t="shared" si="0"/>
        <v>8060000000.3999996</v>
      </c>
      <c r="G14" s="165"/>
    </row>
    <row r="15" spans="1:7" ht="18" customHeight="1" x14ac:dyDescent="0.3">
      <c r="A15" s="497">
        <v>10</v>
      </c>
      <c r="B15" s="497">
        <v>14030201</v>
      </c>
      <c r="C15" s="498" t="s">
        <v>1073</v>
      </c>
      <c r="D15" s="499">
        <v>15394300000</v>
      </c>
      <c r="E15" s="253">
        <f>-('Revenue Grants'!E13+'Revenue Grants'!E14+'Revenue Grants'!E18+'Revenue Grants'!E19+'Revenue Grants'!E22+'Revenue Grants'!E25+'Revenue Grants'!E28+'Revenue Grants'!E31)</f>
        <v>-11995000000</v>
      </c>
      <c r="F15" s="500">
        <f t="shared" si="0"/>
        <v>3399300000</v>
      </c>
      <c r="G15" s="165"/>
    </row>
    <row r="16" spans="1:7" ht="18" customHeight="1" x14ac:dyDescent="0.3">
      <c r="A16" s="497">
        <v>11</v>
      </c>
      <c r="B16" s="497">
        <v>14030101</v>
      </c>
      <c r="C16" s="498" t="s">
        <v>1074</v>
      </c>
      <c r="D16" s="499">
        <v>55914208848.309998</v>
      </c>
      <c r="E16" s="253">
        <v>-12285000000</v>
      </c>
      <c r="F16" s="500">
        <f t="shared" si="0"/>
        <v>43629208848.309998</v>
      </c>
      <c r="G16" s="165"/>
    </row>
    <row r="17" spans="1:7" ht="18.75" customHeight="1" x14ac:dyDescent="0.3">
      <c r="A17" s="497">
        <v>12</v>
      </c>
      <c r="B17" s="497">
        <v>41020101</v>
      </c>
      <c r="C17" s="498" t="s">
        <v>1071</v>
      </c>
      <c r="D17" s="501">
        <v>0</v>
      </c>
      <c r="E17" s="501">
        <v>0</v>
      </c>
      <c r="F17" s="500">
        <f t="shared" si="0"/>
        <v>0</v>
      </c>
      <c r="G17" s="165"/>
    </row>
    <row r="18" spans="1:7" ht="18" customHeight="1" x14ac:dyDescent="0.3">
      <c r="A18" s="497">
        <v>13</v>
      </c>
      <c r="B18" s="497">
        <v>4203</v>
      </c>
      <c r="C18" s="498" t="s">
        <v>1070</v>
      </c>
      <c r="D18" s="499">
        <v>250000000</v>
      </c>
      <c r="E18" s="501">
        <v>0</v>
      </c>
      <c r="F18" s="500">
        <f t="shared" si="0"/>
        <v>250000000</v>
      </c>
      <c r="G18" s="165"/>
    </row>
    <row r="19" spans="1:7" ht="18" customHeight="1" x14ac:dyDescent="0.3">
      <c r="A19" s="497">
        <v>14</v>
      </c>
      <c r="B19" s="497">
        <v>1302</v>
      </c>
      <c r="C19" s="498" t="s">
        <v>1069</v>
      </c>
      <c r="D19" s="499">
        <v>10404515000</v>
      </c>
      <c r="E19" s="253">
        <f>-('Revenue Grants'!E7+'Revenue Grants'!E15+'Revenue Grants'!E10)</f>
        <v>-650000000</v>
      </c>
      <c r="F19" s="500">
        <f t="shared" si="0"/>
        <v>9754515000</v>
      </c>
      <c r="G19" s="165"/>
    </row>
    <row r="20" spans="1:7" ht="18" customHeight="1" x14ac:dyDescent="0.3">
      <c r="A20" s="497">
        <v>15</v>
      </c>
      <c r="B20" s="497">
        <v>14070106</v>
      </c>
      <c r="C20" s="498" t="s">
        <v>1075</v>
      </c>
      <c r="D20" s="499">
        <v>590000000</v>
      </c>
      <c r="E20" s="501">
        <v>0</v>
      </c>
      <c r="F20" s="500">
        <f t="shared" si="0"/>
        <v>590000000</v>
      </c>
      <c r="G20" s="165"/>
    </row>
    <row r="21" spans="1:7" ht="18" customHeight="1" thickBot="1" x14ac:dyDescent="0.35">
      <c r="A21" s="502">
        <v>16</v>
      </c>
      <c r="B21" s="502">
        <v>14070208</v>
      </c>
      <c r="C21" s="503" t="s">
        <v>211</v>
      </c>
      <c r="D21" s="504">
        <v>0</v>
      </c>
      <c r="E21" s="255">
        <v>12730000000</v>
      </c>
      <c r="F21" s="505">
        <f t="shared" si="0"/>
        <v>12730000000</v>
      </c>
      <c r="G21" s="254"/>
    </row>
    <row r="22" spans="1:7" ht="18" customHeight="1" thickBot="1" x14ac:dyDescent="0.35">
      <c r="A22" s="559" t="s">
        <v>1065</v>
      </c>
      <c r="B22" s="560"/>
      <c r="C22" s="560"/>
      <c r="D22" s="506">
        <v>199282437000</v>
      </c>
      <c r="E22" s="257">
        <f>SUM(E6:E21)</f>
        <v>0</v>
      </c>
      <c r="F22" s="507">
        <f>SUM(F6:F21)</f>
        <v>199282437000</v>
      </c>
      <c r="G22" s="258"/>
    </row>
  </sheetData>
  <mergeCells count="4">
    <mergeCell ref="A1:G1"/>
    <mergeCell ref="A2:G2"/>
    <mergeCell ref="A4:G4"/>
    <mergeCell ref="A22:C2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1462"/>
  <sheetViews>
    <sheetView zoomScale="112" zoomScaleNormal="112" workbookViewId="0">
      <selection activeCell="I14" sqref="I14"/>
    </sheetView>
  </sheetViews>
  <sheetFormatPr defaultRowHeight="14.4" x14ac:dyDescent="0.3"/>
  <cols>
    <col min="1" max="1" width="4" customWidth="1"/>
    <col min="2" max="2" width="11.44140625" style="22" customWidth="1"/>
    <col min="3" max="3" width="36.5546875" style="25" customWidth="1"/>
    <col min="4" max="4" width="16.5546875" customWidth="1"/>
    <col min="5" max="5" width="15.44140625" customWidth="1"/>
    <col min="6" max="6" width="16.109375" customWidth="1"/>
    <col min="7" max="7" width="16.5546875" customWidth="1"/>
    <col min="8" max="8" width="12.88671875" customWidth="1"/>
    <col min="9" max="9" width="16.88671875" bestFit="1" customWidth="1"/>
    <col min="12" max="12" width="18" bestFit="1" customWidth="1"/>
  </cols>
  <sheetData>
    <row r="2" spans="1:8" x14ac:dyDescent="0.3">
      <c r="A2" s="587" t="s">
        <v>213</v>
      </c>
      <c r="B2" s="587"/>
      <c r="C2" s="587"/>
      <c r="D2" s="587"/>
      <c r="E2" s="587"/>
      <c r="F2" s="587"/>
      <c r="G2" s="587"/>
      <c r="H2" s="587"/>
    </row>
    <row r="3" spans="1:8" x14ac:dyDescent="0.3">
      <c r="A3" s="587" t="s">
        <v>1159</v>
      </c>
      <c r="B3" s="587"/>
      <c r="C3" s="587"/>
      <c r="D3" s="587"/>
      <c r="E3" s="587"/>
      <c r="F3" s="587"/>
      <c r="G3" s="587"/>
      <c r="H3" s="587"/>
    </row>
    <row r="4" spans="1:8" x14ac:dyDescent="0.3">
      <c r="A4" s="587" t="s">
        <v>215</v>
      </c>
      <c r="B4" s="587"/>
      <c r="C4" s="587"/>
      <c r="D4" s="587"/>
      <c r="E4" s="587"/>
      <c r="F4" s="587"/>
      <c r="G4" s="587"/>
      <c r="H4" s="587"/>
    </row>
    <row r="5" spans="1:8" x14ac:dyDescent="0.3">
      <c r="A5" s="336"/>
      <c r="B5" s="336"/>
      <c r="C5" s="336"/>
      <c r="D5" s="336"/>
      <c r="E5" s="336"/>
      <c r="F5" s="336"/>
      <c r="G5" s="336"/>
    </row>
    <row r="6" spans="1:8" x14ac:dyDescent="0.3">
      <c r="A6" s="33" t="s">
        <v>622</v>
      </c>
      <c r="B6" s="33"/>
      <c r="C6" s="33"/>
      <c r="D6" s="33"/>
      <c r="E6" s="33"/>
      <c r="F6" s="33"/>
      <c r="G6" s="34"/>
    </row>
    <row r="7" spans="1:8" x14ac:dyDescent="0.3">
      <c r="A7" s="34"/>
      <c r="B7" s="336"/>
      <c r="C7" s="34"/>
      <c r="D7" s="34"/>
      <c r="E7" s="34"/>
      <c r="F7" s="34"/>
      <c r="G7" s="34"/>
    </row>
    <row r="8" spans="1:8" x14ac:dyDescent="0.3">
      <c r="A8" s="337" t="s">
        <v>623</v>
      </c>
      <c r="B8" s="337"/>
      <c r="C8" s="337"/>
      <c r="D8" s="34"/>
      <c r="E8" s="34"/>
      <c r="F8" s="34"/>
      <c r="G8" s="34"/>
    </row>
    <row r="9" spans="1:8" ht="24" x14ac:dyDescent="0.3">
      <c r="A9" s="142" t="s">
        <v>0</v>
      </c>
      <c r="B9" s="142" t="s">
        <v>20</v>
      </c>
      <c r="C9" s="142" t="s">
        <v>21</v>
      </c>
      <c r="D9" s="142" t="s">
        <v>214</v>
      </c>
      <c r="E9" s="142" t="s">
        <v>53</v>
      </c>
      <c r="F9" s="142" t="s">
        <v>22</v>
      </c>
      <c r="G9" s="142" t="s">
        <v>1160</v>
      </c>
      <c r="H9" s="142" t="s">
        <v>44</v>
      </c>
    </row>
    <row r="10" spans="1:8" x14ac:dyDescent="0.3">
      <c r="A10" s="31">
        <v>1</v>
      </c>
      <c r="B10" s="121">
        <v>22020102</v>
      </c>
      <c r="C10" s="122" t="s">
        <v>216</v>
      </c>
      <c r="D10" s="123">
        <f>280550000</f>
        <v>280550000</v>
      </c>
      <c r="E10" s="143">
        <v>0</v>
      </c>
      <c r="F10" s="143">
        <v>110000000</v>
      </c>
      <c r="G10" s="32">
        <f t="shared" ref="G10:G30" si="0">D10-E10+F10</f>
        <v>390550000</v>
      </c>
      <c r="H10" s="31" t="s">
        <v>240</v>
      </c>
    </row>
    <row r="11" spans="1:8" x14ac:dyDescent="0.3">
      <c r="A11" s="31">
        <v>2</v>
      </c>
      <c r="B11" s="121">
        <v>22020201</v>
      </c>
      <c r="C11" s="122" t="s">
        <v>217</v>
      </c>
      <c r="D11" s="123">
        <v>4000000</v>
      </c>
      <c r="E11" s="143">
        <v>0</v>
      </c>
      <c r="F11" s="143">
        <v>0</v>
      </c>
      <c r="G11" s="32">
        <f t="shared" si="0"/>
        <v>4000000</v>
      </c>
      <c r="H11" s="31"/>
    </row>
    <row r="12" spans="1:8" x14ac:dyDescent="0.3">
      <c r="A12" s="31">
        <v>3</v>
      </c>
      <c r="B12" s="121">
        <v>22020202</v>
      </c>
      <c r="C12" s="122" t="s">
        <v>218</v>
      </c>
      <c r="D12" s="123">
        <v>15000000</v>
      </c>
      <c r="E12" s="143">
        <v>0</v>
      </c>
      <c r="F12" s="143">
        <v>0</v>
      </c>
      <c r="G12" s="32">
        <f t="shared" si="0"/>
        <v>15000000</v>
      </c>
      <c r="H12" s="31"/>
    </row>
    <row r="13" spans="1:8" x14ac:dyDescent="0.3">
      <c r="A13" s="31">
        <v>4</v>
      </c>
      <c r="B13" s="121">
        <v>22020203</v>
      </c>
      <c r="C13" s="122" t="s">
        <v>219</v>
      </c>
      <c r="D13" s="123">
        <v>10000000</v>
      </c>
      <c r="E13" s="143">
        <v>0</v>
      </c>
      <c r="F13" s="143">
        <v>0</v>
      </c>
      <c r="G13" s="32">
        <f t="shared" si="0"/>
        <v>10000000</v>
      </c>
      <c r="H13" s="31"/>
    </row>
    <row r="14" spans="1:8" x14ac:dyDescent="0.3">
      <c r="A14" s="31">
        <v>5</v>
      </c>
      <c r="B14" s="121">
        <v>22020301</v>
      </c>
      <c r="C14" s="122" t="s">
        <v>220</v>
      </c>
      <c r="D14" s="123">
        <v>27000000</v>
      </c>
      <c r="E14" s="143">
        <v>0</v>
      </c>
      <c r="F14" s="143">
        <v>0</v>
      </c>
      <c r="G14" s="32">
        <f t="shared" si="0"/>
        <v>27000000</v>
      </c>
      <c r="H14" s="31"/>
    </row>
    <row r="15" spans="1:8" x14ac:dyDescent="0.3">
      <c r="A15" s="31">
        <v>6</v>
      </c>
      <c r="B15" s="121">
        <v>22020306</v>
      </c>
      <c r="C15" s="122" t="s">
        <v>221</v>
      </c>
      <c r="D15" s="123">
        <v>15000000</v>
      </c>
      <c r="E15" s="143">
        <v>0</v>
      </c>
      <c r="F15" s="143">
        <v>0</v>
      </c>
      <c r="G15" s="32">
        <f t="shared" si="0"/>
        <v>15000000</v>
      </c>
      <c r="H15" s="31"/>
    </row>
    <row r="16" spans="1:8" x14ac:dyDescent="0.3">
      <c r="A16" s="31">
        <v>7</v>
      </c>
      <c r="B16" s="121">
        <v>22020307</v>
      </c>
      <c r="C16" s="122" t="s">
        <v>308</v>
      </c>
      <c r="D16" s="123">
        <v>3000000</v>
      </c>
      <c r="E16" s="143">
        <v>0</v>
      </c>
      <c r="F16" s="143">
        <v>0</v>
      </c>
      <c r="G16" s="32">
        <f t="shared" si="0"/>
        <v>3000000</v>
      </c>
      <c r="H16" s="31"/>
    </row>
    <row r="17" spans="1:9" ht="15" customHeight="1" x14ac:dyDescent="0.3">
      <c r="A17" s="31">
        <v>8</v>
      </c>
      <c r="B17" s="121">
        <v>22020311</v>
      </c>
      <c r="C17" s="122" t="s">
        <v>309</v>
      </c>
      <c r="D17" s="123">
        <f>159000000</f>
        <v>159000000</v>
      </c>
      <c r="E17" s="143">
        <v>60000000</v>
      </c>
      <c r="F17" s="143">
        <v>0</v>
      </c>
      <c r="G17" s="32">
        <f t="shared" si="0"/>
        <v>99000000</v>
      </c>
      <c r="H17" s="31"/>
    </row>
    <row r="18" spans="1:9" ht="20.399999999999999" x14ac:dyDescent="0.3">
      <c r="A18" s="31">
        <v>9</v>
      </c>
      <c r="B18" s="121">
        <v>22020401</v>
      </c>
      <c r="C18" s="122" t="s">
        <v>222</v>
      </c>
      <c r="D18" s="123">
        <v>44000000</v>
      </c>
      <c r="E18" s="143">
        <v>0</v>
      </c>
      <c r="F18" s="292">
        <v>15000000</v>
      </c>
      <c r="G18" s="32">
        <f t="shared" si="0"/>
        <v>59000000</v>
      </c>
      <c r="H18" s="31" t="s">
        <v>240</v>
      </c>
    </row>
    <row r="19" spans="1:9" x14ac:dyDescent="0.3">
      <c r="A19" s="31">
        <v>10</v>
      </c>
      <c r="B19" s="121">
        <v>22020402</v>
      </c>
      <c r="C19" s="122" t="s">
        <v>223</v>
      </c>
      <c r="D19" s="123">
        <v>14000000</v>
      </c>
      <c r="E19" s="143">
        <v>0</v>
      </c>
      <c r="F19" s="143">
        <v>0</v>
      </c>
      <c r="G19" s="32">
        <f t="shared" si="0"/>
        <v>14000000</v>
      </c>
      <c r="H19" s="31"/>
    </row>
    <row r="20" spans="1:9" x14ac:dyDescent="0.3">
      <c r="A20" s="31">
        <v>11</v>
      </c>
      <c r="B20" s="121">
        <v>22020406</v>
      </c>
      <c r="C20" s="122" t="s">
        <v>224</v>
      </c>
      <c r="D20" s="123">
        <v>35000000</v>
      </c>
      <c r="E20" s="143">
        <v>0</v>
      </c>
      <c r="F20" s="143">
        <v>0</v>
      </c>
      <c r="G20" s="32">
        <f t="shared" si="0"/>
        <v>35000000</v>
      </c>
      <c r="H20" s="31"/>
    </row>
    <row r="21" spans="1:9" x14ac:dyDescent="0.3">
      <c r="A21" s="31">
        <v>12</v>
      </c>
      <c r="B21" s="121">
        <v>22020408</v>
      </c>
      <c r="C21" s="122" t="s">
        <v>310</v>
      </c>
      <c r="D21" s="123">
        <v>11600000</v>
      </c>
      <c r="E21" s="143">
        <v>0</v>
      </c>
      <c r="F21" s="143">
        <v>0</v>
      </c>
      <c r="G21" s="32">
        <f t="shared" si="0"/>
        <v>11600000</v>
      </c>
      <c r="H21" s="31"/>
    </row>
    <row r="22" spans="1:9" x14ac:dyDescent="0.3">
      <c r="A22" s="31">
        <v>13</v>
      </c>
      <c r="B22" s="121">
        <v>22020501</v>
      </c>
      <c r="C22" s="122" t="s">
        <v>225</v>
      </c>
      <c r="D22" s="123">
        <v>4000000</v>
      </c>
      <c r="E22" s="143">
        <v>0</v>
      </c>
      <c r="F22" s="143">
        <v>0</v>
      </c>
      <c r="G22" s="32">
        <f t="shared" si="0"/>
        <v>4000000</v>
      </c>
      <c r="H22" s="31"/>
    </row>
    <row r="23" spans="1:9" x14ac:dyDescent="0.3">
      <c r="A23" s="31">
        <v>14</v>
      </c>
      <c r="B23" s="121">
        <v>22020601</v>
      </c>
      <c r="C23" s="122" t="s">
        <v>226</v>
      </c>
      <c r="D23" s="123">
        <v>10000000</v>
      </c>
      <c r="E23" s="143">
        <v>0</v>
      </c>
      <c r="F23" s="143">
        <v>0</v>
      </c>
      <c r="G23" s="32">
        <f t="shared" si="0"/>
        <v>10000000</v>
      </c>
      <c r="H23" s="31"/>
    </row>
    <row r="24" spans="1:9" x14ac:dyDescent="0.3">
      <c r="A24" s="31">
        <v>15</v>
      </c>
      <c r="B24" s="121">
        <v>22020711</v>
      </c>
      <c r="C24" s="122" t="s">
        <v>227</v>
      </c>
      <c r="D24" s="123">
        <v>155297800</v>
      </c>
      <c r="E24" s="143">
        <v>0</v>
      </c>
      <c r="F24" s="143">
        <v>10000000</v>
      </c>
      <c r="G24" s="32">
        <f t="shared" si="0"/>
        <v>165297800</v>
      </c>
      <c r="H24" s="31" t="s">
        <v>240</v>
      </c>
    </row>
    <row r="25" spans="1:9" x14ac:dyDescent="0.3">
      <c r="A25" s="31">
        <v>16</v>
      </c>
      <c r="B25" s="121">
        <v>22020801</v>
      </c>
      <c r="C25" s="122" t="s">
        <v>228</v>
      </c>
      <c r="D25" s="123">
        <v>80000000</v>
      </c>
      <c r="E25" s="143">
        <v>0</v>
      </c>
      <c r="F25" s="143">
        <v>0</v>
      </c>
      <c r="G25" s="32">
        <f t="shared" si="0"/>
        <v>80000000</v>
      </c>
      <c r="H25" s="31"/>
    </row>
    <row r="26" spans="1:9" x14ac:dyDescent="0.3">
      <c r="A26" s="31">
        <v>17</v>
      </c>
      <c r="B26" s="121">
        <v>22021001</v>
      </c>
      <c r="C26" s="122" t="s">
        <v>229</v>
      </c>
      <c r="D26" s="123">
        <v>144450200</v>
      </c>
      <c r="E26" s="143">
        <v>0</v>
      </c>
      <c r="F26" s="143">
        <v>35000000</v>
      </c>
      <c r="G26" s="32">
        <f t="shared" si="0"/>
        <v>179450200</v>
      </c>
      <c r="H26" s="31" t="s">
        <v>240</v>
      </c>
      <c r="I26" s="8"/>
    </row>
    <row r="27" spans="1:9" x14ac:dyDescent="0.3">
      <c r="A27" s="31">
        <v>18</v>
      </c>
      <c r="B27" s="121">
        <v>22021006</v>
      </c>
      <c r="C27" s="122" t="s">
        <v>287</v>
      </c>
      <c r="D27" s="123">
        <v>2000000</v>
      </c>
      <c r="E27" s="143">
        <v>0</v>
      </c>
      <c r="F27" s="143">
        <v>0</v>
      </c>
      <c r="G27" s="32">
        <f t="shared" si="0"/>
        <v>2000000</v>
      </c>
      <c r="H27" s="31"/>
      <c r="I27" s="8"/>
    </row>
    <row r="28" spans="1:9" x14ac:dyDescent="0.3">
      <c r="A28" s="31">
        <v>19</v>
      </c>
      <c r="B28" s="121">
        <v>22021007</v>
      </c>
      <c r="C28" s="122" t="s">
        <v>230</v>
      </c>
      <c r="D28" s="123">
        <f>35700000</f>
        <v>35700000</v>
      </c>
      <c r="E28" s="143">
        <v>0</v>
      </c>
      <c r="F28" s="143">
        <v>100000000</v>
      </c>
      <c r="G28" s="32">
        <f t="shared" si="0"/>
        <v>135700000</v>
      </c>
      <c r="H28" s="31" t="s">
        <v>240</v>
      </c>
    </row>
    <row r="29" spans="1:9" x14ac:dyDescent="0.3">
      <c r="A29" s="31">
        <v>20</v>
      </c>
      <c r="B29" s="121">
        <v>22021053</v>
      </c>
      <c r="C29" s="122" t="s">
        <v>289</v>
      </c>
      <c r="D29" s="123">
        <v>130000000</v>
      </c>
      <c r="E29" s="143">
        <v>0</v>
      </c>
      <c r="F29" s="143">
        <v>0</v>
      </c>
      <c r="G29" s="32">
        <f t="shared" si="0"/>
        <v>130000000</v>
      </c>
      <c r="H29" s="31"/>
    </row>
    <row r="30" spans="1:9" x14ac:dyDescent="0.3">
      <c r="A30" s="31">
        <v>21</v>
      </c>
      <c r="B30" s="121">
        <v>22021060</v>
      </c>
      <c r="C30" s="122" t="s">
        <v>231</v>
      </c>
      <c r="D30" s="123">
        <v>66000000</v>
      </c>
      <c r="E30" s="143">
        <v>0</v>
      </c>
      <c r="F30" s="143">
        <v>10000000</v>
      </c>
      <c r="G30" s="32">
        <f t="shared" si="0"/>
        <v>76000000</v>
      </c>
      <c r="H30" s="31" t="s">
        <v>240</v>
      </c>
    </row>
    <row r="31" spans="1:9" x14ac:dyDescent="0.3">
      <c r="A31" s="588" t="s">
        <v>23</v>
      </c>
      <c r="B31" s="588"/>
      <c r="C31" s="588"/>
      <c r="D31" s="119">
        <f>SUM(D10:D30)</f>
        <v>1245598000</v>
      </c>
      <c r="E31" s="119">
        <f t="shared" ref="E31" si="1">SUM(E10:E30)</f>
        <v>60000000</v>
      </c>
      <c r="F31" s="119">
        <f>SUM(F10:F30)</f>
        <v>280000000</v>
      </c>
      <c r="G31" s="119">
        <f>SUM(G10:G30)</f>
        <v>1465598000</v>
      </c>
      <c r="H31" s="31"/>
    </row>
    <row r="35" spans="1:8" x14ac:dyDescent="0.3">
      <c r="A35" s="587" t="s">
        <v>213</v>
      </c>
      <c r="B35" s="587"/>
      <c r="C35" s="587"/>
      <c r="D35" s="587"/>
      <c r="E35" s="587"/>
      <c r="F35" s="587"/>
      <c r="G35" s="587"/>
      <c r="H35" s="587"/>
    </row>
    <row r="36" spans="1:8" x14ac:dyDescent="0.3">
      <c r="A36" s="587" t="s">
        <v>1159</v>
      </c>
      <c r="B36" s="587"/>
      <c r="C36" s="587"/>
      <c r="D36" s="587"/>
      <c r="E36" s="587"/>
      <c r="F36" s="587"/>
      <c r="G36" s="587"/>
      <c r="H36" s="587"/>
    </row>
    <row r="37" spans="1:8" x14ac:dyDescent="0.3">
      <c r="A37" s="587" t="s">
        <v>215</v>
      </c>
      <c r="B37" s="587"/>
      <c r="C37" s="587"/>
      <c r="D37" s="587"/>
      <c r="E37" s="587"/>
      <c r="F37" s="587"/>
      <c r="G37" s="587"/>
      <c r="H37" s="587"/>
    </row>
    <row r="38" spans="1:8" x14ac:dyDescent="0.3">
      <c r="A38" s="336"/>
      <c r="B38" s="336"/>
      <c r="C38" s="336"/>
      <c r="D38" s="336"/>
      <c r="E38" s="336"/>
      <c r="F38" s="336"/>
      <c r="G38" s="336"/>
    </row>
    <row r="39" spans="1:8" x14ac:dyDescent="0.3">
      <c r="A39" s="33" t="s">
        <v>624</v>
      </c>
      <c r="B39" s="33"/>
      <c r="C39" s="33"/>
      <c r="D39" s="33"/>
      <c r="E39" s="33"/>
      <c r="F39" s="33"/>
      <c r="G39" s="34"/>
    </row>
    <row r="40" spans="1:8" x14ac:dyDescent="0.3">
      <c r="A40" s="34"/>
      <c r="B40" s="336"/>
      <c r="C40" s="34"/>
      <c r="D40" s="34"/>
      <c r="E40" s="34"/>
      <c r="F40" s="34"/>
      <c r="G40" s="34"/>
    </row>
    <row r="41" spans="1:8" x14ac:dyDescent="0.3">
      <c r="A41" s="337" t="s">
        <v>625</v>
      </c>
      <c r="B41" s="337"/>
      <c r="C41" s="337"/>
      <c r="D41" s="34"/>
      <c r="E41" s="34"/>
      <c r="F41" s="34"/>
      <c r="G41" s="34"/>
    </row>
    <row r="42" spans="1:8" ht="24" x14ac:dyDescent="0.3">
      <c r="A42" s="142" t="s">
        <v>0</v>
      </c>
      <c r="B42" s="142" t="s">
        <v>20</v>
      </c>
      <c r="C42" s="142" t="s">
        <v>21</v>
      </c>
      <c r="D42" s="142" t="s">
        <v>214</v>
      </c>
      <c r="E42" s="142" t="s">
        <v>53</v>
      </c>
      <c r="F42" s="142" t="s">
        <v>22</v>
      </c>
      <c r="G42" s="142" t="s">
        <v>1160</v>
      </c>
      <c r="H42" s="142" t="s">
        <v>44</v>
      </c>
    </row>
    <row r="43" spans="1:8" x14ac:dyDescent="0.3">
      <c r="A43" s="31">
        <v>1</v>
      </c>
      <c r="B43" s="121">
        <v>22020101</v>
      </c>
      <c r="C43" s="122" t="s">
        <v>288</v>
      </c>
      <c r="D43" s="123">
        <v>0</v>
      </c>
      <c r="E43" s="143">
        <v>0</v>
      </c>
      <c r="F43" s="143">
        <v>0</v>
      </c>
      <c r="G43" s="32">
        <f t="shared" ref="G43:G56" si="2">D43-E43+F43</f>
        <v>0</v>
      </c>
      <c r="H43" s="31"/>
    </row>
    <row r="44" spans="1:8" x14ac:dyDescent="0.3">
      <c r="A44" s="31">
        <v>2</v>
      </c>
      <c r="B44" s="121">
        <v>22020102</v>
      </c>
      <c r="C44" s="122" t="s">
        <v>216</v>
      </c>
      <c r="D44" s="123">
        <v>147375000</v>
      </c>
      <c r="E44" s="143">
        <v>0</v>
      </c>
      <c r="F44" s="143">
        <v>20000000</v>
      </c>
      <c r="G44" s="32">
        <f t="shared" si="2"/>
        <v>167375000</v>
      </c>
      <c r="H44" s="31" t="s">
        <v>240</v>
      </c>
    </row>
    <row r="45" spans="1:8" x14ac:dyDescent="0.3">
      <c r="A45" s="31">
        <v>3</v>
      </c>
      <c r="B45" s="121">
        <v>22020201</v>
      </c>
      <c r="C45" s="122" t="s">
        <v>217</v>
      </c>
      <c r="D45" s="123">
        <v>1000000</v>
      </c>
      <c r="E45" s="143">
        <v>0</v>
      </c>
      <c r="F45" s="143">
        <v>0</v>
      </c>
      <c r="G45" s="32">
        <f t="shared" si="2"/>
        <v>1000000</v>
      </c>
      <c r="H45" s="31"/>
    </row>
    <row r="46" spans="1:8" x14ac:dyDescent="0.3">
      <c r="A46" s="31">
        <v>4</v>
      </c>
      <c r="B46" s="121">
        <v>22020202</v>
      </c>
      <c r="C46" s="122" t="s">
        <v>218</v>
      </c>
      <c r="D46" s="123">
        <v>2000000</v>
      </c>
      <c r="E46" s="143">
        <v>0</v>
      </c>
      <c r="F46" s="143">
        <v>0</v>
      </c>
      <c r="G46" s="32">
        <f t="shared" si="2"/>
        <v>2000000</v>
      </c>
      <c r="H46" s="31"/>
    </row>
    <row r="47" spans="1:8" x14ac:dyDescent="0.3">
      <c r="A47" s="31">
        <v>5</v>
      </c>
      <c r="B47" s="121">
        <v>22020301</v>
      </c>
      <c r="C47" s="122" t="s">
        <v>220</v>
      </c>
      <c r="D47" s="123">
        <v>9000000</v>
      </c>
      <c r="E47" s="143">
        <v>0</v>
      </c>
      <c r="F47" s="143">
        <v>0</v>
      </c>
      <c r="G47" s="32">
        <f t="shared" si="2"/>
        <v>9000000</v>
      </c>
      <c r="H47" s="31"/>
    </row>
    <row r="48" spans="1:8" x14ac:dyDescent="0.3">
      <c r="A48" s="31">
        <v>6</v>
      </c>
      <c r="B48" s="121">
        <v>22020305</v>
      </c>
      <c r="C48" s="122" t="s">
        <v>233</v>
      </c>
      <c r="D48" s="123">
        <v>8000000</v>
      </c>
      <c r="E48" s="143">
        <v>0</v>
      </c>
      <c r="F48" s="143">
        <v>0</v>
      </c>
      <c r="G48" s="32">
        <f t="shared" si="2"/>
        <v>8000000</v>
      </c>
      <c r="H48" s="31"/>
    </row>
    <row r="49" spans="1:8" ht="20.399999999999999" x14ac:dyDescent="0.3">
      <c r="A49" s="31">
        <v>7</v>
      </c>
      <c r="B49" s="121">
        <v>22020401</v>
      </c>
      <c r="C49" s="122" t="s">
        <v>222</v>
      </c>
      <c r="D49" s="123">
        <v>30000000</v>
      </c>
      <c r="E49" s="143">
        <v>0</v>
      </c>
      <c r="F49" s="143">
        <v>15000000</v>
      </c>
      <c r="G49" s="32">
        <f t="shared" si="2"/>
        <v>45000000</v>
      </c>
      <c r="H49" s="31"/>
    </row>
    <row r="50" spans="1:8" x14ac:dyDescent="0.3">
      <c r="A50" s="31">
        <v>8</v>
      </c>
      <c r="B50" s="121">
        <v>22020402</v>
      </c>
      <c r="C50" s="122" t="s">
        <v>223</v>
      </c>
      <c r="D50" s="123">
        <v>8000000</v>
      </c>
      <c r="E50" s="143">
        <v>0</v>
      </c>
      <c r="F50" s="143">
        <v>0</v>
      </c>
      <c r="G50" s="32">
        <f t="shared" si="2"/>
        <v>8000000</v>
      </c>
      <c r="H50" s="31"/>
    </row>
    <row r="51" spans="1:8" x14ac:dyDescent="0.3">
      <c r="A51" s="31">
        <v>9</v>
      </c>
      <c r="B51" s="121">
        <v>22020406</v>
      </c>
      <c r="C51" s="122" t="s">
        <v>224</v>
      </c>
      <c r="D51" s="123">
        <v>15000000</v>
      </c>
      <c r="E51" s="143">
        <v>0</v>
      </c>
      <c r="F51" s="143">
        <v>0</v>
      </c>
      <c r="G51" s="32">
        <f t="shared" si="2"/>
        <v>15000000</v>
      </c>
      <c r="H51" s="31"/>
    </row>
    <row r="52" spans="1:8" x14ac:dyDescent="0.3">
      <c r="A52" s="31">
        <v>10</v>
      </c>
      <c r="B52" s="121">
        <v>22020501</v>
      </c>
      <c r="C52" s="122" t="s">
        <v>225</v>
      </c>
      <c r="D52" s="123">
        <v>12000000</v>
      </c>
      <c r="E52" s="143">
        <v>0</v>
      </c>
      <c r="F52" s="143">
        <v>7000000</v>
      </c>
      <c r="G52" s="32">
        <f t="shared" si="2"/>
        <v>19000000</v>
      </c>
      <c r="H52" s="31" t="s">
        <v>240</v>
      </c>
    </row>
    <row r="53" spans="1:8" x14ac:dyDescent="0.3">
      <c r="A53" s="31">
        <v>11</v>
      </c>
      <c r="B53" s="121">
        <v>22020711</v>
      </c>
      <c r="C53" s="122" t="s">
        <v>227</v>
      </c>
      <c r="D53" s="123">
        <v>11000000</v>
      </c>
      <c r="E53" s="143">
        <v>0</v>
      </c>
      <c r="F53" s="143">
        <v>0</v>
      </c>
      <c r="G53" s="32">
        <f t="shared" si="2"/>
        <v>11000000</v>
      </c>
      <c r="H53" s="31"/>
    </row>
    <row r="54" spans="1:8" x14ac:dyDescent="0.3">
      <c r="A54" s="31">
        <v>12</v>
      </c>
      <c r="B54" s="121">
        <v>22021001</v>
      </c>
      <c r="C54" s="122" t="s">
        <v>229</v>
      </c>
      <c r="D54" s="123">
        <v>8000000</v>
      </c>
      <c r="E54" s="143">
        <v>0</v>
      </c>
      <c r="F54" s="143">
        <v>0</v>
      </c>
      <c r="G54" s="32">
        <f t="shared" si="2"/>
        <v>8000000</v>
      </c>
      <c r="H54" s="31"/>
    </row>
    <row r="55" spans="1:8" x14ac:dyDescent="0.3">
      <c r="A55" s="31">
        <v>13</v>
      </c>
      <c r="B55" s="121">
        <v>22021007</v>
      </c>
      <c r="C55" s="122" t="s">
        <v>230</v>
      </c>
      <c r="D55" s="123">
        <v>52000000</v>
      </c>
      <c r="E55" s="143">
        <v>0</v>
      </c>
      <c r="F55" s="143">
        <v>0</v>
      </c>
      <c r="G55" s="32">
        <f t="shared" si="2"/>
        <v>52000000</v>
      </c>
      <c r="H55" s="31"/>
    </row>
    <row r="56" spans="1:8" x14ac:dyDescent="0.3">
      <c r="A56" s="31">
        <v>14</v>
      </c>
      <c r="B56" s="121">
        <v>22021053</v>
      </c>
      <c r="C56" s="122" t="s">
        <v>289</v>
      </c>
      <c r="D56" s="123">
        <v>15000000</v>
      </c>
      <c r="E56" s="143">
        <v>0</v>
      </c>
      <c r="F56" s="143">
        <v>0</v>
      </c>
      <c r="G56" s="32">
        <f t="shared" si="2"/>
        <v>15000000</v>
      </c>
      <c r="H56" s="31"/>
    </row>
    <row r="57" spans="1:8" x14ac:dyDescent="0.3">
      <c r="A57" s="588" t="s">
        <v>23</v>
      </c>
      <c r="B57" s="588"/>
      <c r="C57" s="588"/>
      <c r="D57" s="119">
        <f t="shared" ref="D57:F57" si="3">SUM(D43:D56)</f>
        <v>318375000</v>
      </c>
      <c r="E57" s="117">
        <f t="shared" si="3"/>
        <v>0</v>
      </c>
      <c r="F57" s="119">
        <f t="shared" si="3"/>
        <v>42000000</v>
      </c>
      <c r="G57" s="119">
        <f>SUM(G43:G56)</f>
        <v>360375000</v>
      </c>
      <c r="H57" s="338"/>
    </row>
    <row r="68" spans="1:8" x14ac:dyDescent="0.3">
      <c r="A68" s="587" t="s">
        <v>213</v>
      </c>
      <c r="B68" s="587"/>
      <c r="C68" s="587"/>
      <c r="D68" s="587"/>
      <c r="E68" s="587"/>
      <c r="F68" s="587"/>
      <c r="G68" s="587"/>
      <c r="H68" s="587"/>
    </row>
    <row r="69" spans="1:8" x14ac:dyDescent="0.3">
      <c r="A69" s="587" t="s">
        <v>1159</v>
      </c>
      <c r="B69" s="587"/>
      <c r="C69" s="587"/>
      <c r="D69" s="587"/>
      <c r="E69" s="587"/>
      <c r="F69" s="587"/>
      <c r="G69" s="587"/>
      <c r="H69" s="587"/>
    </row>
    <row r="70" spans="1:8" x14ac:dyDescent="0.3">
      <c r="A70" s="587" t="s">
        <v>215</v>
      </c>
      <c r="B70" s="587"/>
      <c r="C70" s="587"/>
      <c r="D70" s="587"/>
      <c r="E70" s="587"/>
      <c r="F70" s="587"/>
      <c r="G70" s="587"/>
      <c r="H70" s="587"/>
    </row>
    <row r="71" spans="1:8" x14ac:dyDescent="0.3">
      <c r="A71" s="336"/>
      <c r="B71" s="336"/>
      <c r="C71" s="336"/>
      <c r="D71" s="336"/>
      <c r="E71" s="336"/>
      <c r="F71" s="336"/>
      <c r="G71" s="336"/>
    </row>
    <row r="72" spans="1:8" x14ac:dyDescent="0.3">
      <c r="A72" s="33" t="s">
        <v>626</v>
      </c>
      <c r="B72" s="33"/>
      <c r="C72" s="33"/>
      <c r="D72" s="33"/>
      <c r="E72" s="33"/>
      <c r="F72" s="33"/>
      <c r="G72" s="34"/>
    </row>
    <row r="73" spans="1:8" x14ac:dyDescent="0.3">
      <c r="A73" s="34"/>
      <c r="B73" s="336"/>
      <c r="C73" s="34"/>
      <c r="D73" s="34"/>
      <c r="E73" s="34"/>
      <c r="F73" s="34"/>
      <c r="G73" s="34"/>
    </row>
    <row r="74" spans="1:8" x14ac:dyDescent="0.3">
      <c r="A74" s="337" t="s">
        <v>627</v>
      </c>
      <c r="B74" s="337"/>
      <c r="C74" s="337"/>
      <c r="D74" s="34"/>
      <c r="E74" s="34"/>
      <c r="F74" s="34"/>
      <c r="G74" s="34"/>
    </row>
    <row r="75" spans="1:8" ht="24" x14ac:dyDescent="0.3">
      <c r="A75" s="142" t="s">
        <v>0</v>
      </c>
      <c r="B75" s="142" t="s">
        <v>20</v>
      </c>
      <c r="C75" s="142" t="s">
        <v>21</v>
      </c>
      <c r="D75" s="142" t="s">
        <v>214</v>
      </c>
      <c r="E75" s="142" t="s">
        <v>53</v>
      </c>
      <c r="F75" s="142" t="s">
        <v>22</v>
      </c>
      <c r="G75" s="142" t="s">
        <v>1160</v>
      </c>
      <c r="H75" s="142" t="s">
        <v>44</v>
      </c>
    </row>
    <row r="76" spans="1:8" x14ac:dyDescent="0.3">
      <c r="A76" s="31">
        <v>1</v>
      </c>
      <c r="B76" s="121">
        <v>22020101</v>
      </c>
      <c r="C76" s="122" t="s">
        <v>288</v>
      </c>
      <c r="D76" s="143">
        <v>0</v>
      </c>
      <c r="E76" s="32">
        <v>0</v>
      </c>
      <c r="F76" s="32">
        <v>0</v>
      </c>
      <c r="G76" s="32">
        <f t="shared" ref="G76:G87" si="4">D76-E76+F76</f>
        <v>0</v>
      </c>
      <c r="H76" s="31"/>
    </row>
    <row r="77" spans="1:8" x14ac:dyDescent="0.3">
      <c r="A77" s="31">
        <v>2</v>
      </c>
      <c r="B77" s="121">
        <v>22020102</v>
      </c>
      <c r="C77" s="122" t="s">
        <v>216</v>
      </c>
      <c r="D77" s="123">
        <v>3900000</v>
      </c>
      <c r="E77" s="32">
        <v>0</v>
      </c>
      <c r="F77" s="32">
        <v>0</v>
      </c>
      <c r="G77" s="32">
        <f t="shared" si="4"/>
        <v>3900000</v>
      </c>
      <c r="H77" s="31" t="s">
        <v>240</v>
      </c>
    </row>
    <row r="78" spans="1:8" x14ac:dyDescent="0.3">
      <c r="A78" s="31">
        <v>3</v>
      </c>
      <c r="B78" s="121">
        <v>22020202</v>
      </c>
      <c r="C78" s="122" t="s">
        <v>218</v>
      </c>
      <c r="D78" s="123">
        <v>150000</v>
      </c>
      <c r="E78" s="32">
        <v>0</v>
      </c>
      <c r="F78" s="32">
        <v>0</v>
      </c>
      <c r="G78" s="32">
        <f t="shared" si="4"/>
        <v>150000</v>
      </c>
      <c r="H78" s="31"/>
    </row>
    <row r="79" spans="1:8" x14ac:dyDescent="0.3">
      <c r="A79" s="31">
        <v>4</v>
      </c>
      <c r="B79" s="121">
        <v>22020301</v>
      </c>
      <c r="C79" s="122" t="s">
        <v>220</v>
      </c>
      <c r="D79" s="123">
        <v>600000</v>
      </c>
      <c r="E79" s="32">
        <v>0</v>
      </c>
      <c r="F79" s="32">
        <v>0</v>
      </c>
      <c r="G79" s="32">
        <f t="shared" si="4"/>
        <v>600000</v>
      </c>
      <c r="H79" s="31"/>
    </row>
    <row r="80" spans="1:8" x14ac:dyDescent="0.3">
      <c r="A80" s="31">
        <v>5</v>
      </c>
      <c r="B80" s="121">
        <v>22020304</v>
      </c>
      <c r="C80" s="122" t="s">
        <v>241</v>
      </c>
      <c r="D80" s="123">
        <v>1000000</v>
      </c>
      <c r="E80" s="32">
        <v>0</v>
      </c>
      <c r="F80" s="32">
        <v>0</v>
      </c>
      <c r="G80" s="32">
        <f t="shared" si="4"/>
        <v>1000000</v>
      </c>
      <c r="H80" s="31"/>
    </row>
    <row r="81" spans="1:8" x14ac:dyDescent="0.3">
      <c r="A81" s="31">
        <v>6</v>
      </c>
      <c r="B81" s="121">
        <v>22020305</v>
      </c>
      <c r="C81" s="122" t="s">
        <v>233</v>
      </c>
      <c r="D81" s="123">
        <v>200000</v>
      </c>
      <c r="E81" s="32">
        <v>0</v>
      </c>
      <c r="F81" s="32">
        <v>0</v>
      </c>
      <c r="G81" s="32">
        <f t="shared" si="4"/>
        <v>200000</v>
      </c>
      <c r="H81" s="31"/>
    </row>
    <row r="82" spans="1:8" ht="20.399999999999999" x14ac:dyDescent="0.3">
      <c r="A82" s="31">
        <v>7</v>
      </c>
      <c r="B82" s="121">
        <v>22020401</v>
      </c>
      <c r="C82" s="122" t="s">
        <v>222</v>
      </c>
      <c r="D82" s="123">
        <v>400000</v>
      </c>
      <c r="E82" s="32">
        <v>0</v>
      </c>
      <c r="F82" s="32">
        <v>0</v>
      </c>
      <c r="G82" s="32">
        <f t="shared" si="4"/>
        <v>400000</v>
      </c>
      <c r="H82" s="31"/>
    </row>
    <row r="83" spans="1:8" x14ac:dyDescent="0.3">
      <c r="A83" s="31">
        <v>8</v>
      </c>
      <c r="B83" s="121">
        <v>22020402</v>
      </c>
      <c r="C83" s="122" t="s">
        <v>223</v>
      </c>
      <c r="D83" s="123">
        <v>300000</v>
      </c>
      <c r="E83" s="32">
        <v>0</v>
      </c>
      <c r="F83" s="32">
        <v>0</v>
      </c>
      <c r="G83" s="32">
        <f t="shared" si="4"/>
        <v>300000</v>
      </c>
      <c r="H83" s="31"/>
    </row>
    <row r="84" spans="1:8" x14ac:dyDescent="0.3">
      <c r="A84" s="31">
        <v>9</v>
      </c>
      <c r="B84" s="121">
        <v>22020501</v>
      </c>
      <c r="C84" s="122" t="s">
        <v>225</v>
      </c>
      <c r="D84" s="123">
        <v>2200000</v>
      </c>
      <c r="E84" s="32">
        <v>0</v>
      </c>
      <c r="F84" s="32">
        <v>0</v>
      </c>
      <c r="G84" s="32">
        <f t="shared" si="4"/>
        <v>2200000</v>
      </c>
      <c r="H84" s="31"/>
    </row>
    <row r="85" spans="1:8" x14ac:dyDescent="0.3">
      <c r="A85" s="31">
        <v>10</v>
      </c>
      <c r="B85" s="121">
        <v>22021007</v>
      </c>
      <c r="C85" s="122" t="s">
        <v>230</v>
      </c>
      <c r="D85" s="123">
        <v>1350000</v>
      </c>
      <c r="E85" s="32">
        <v>0</v>
      </c>
      <c r="F85" s="32">
        <v>0</v>
      </c>
      <c r="G85" s="32">
        <f t="shared" si="4"/>
        <v>1350000</v>
      </c>
      <c r="H85" s="31"/>
    </row>
    <row r="86" spans="1:8" x14ac:dyDescent="0.3">
      <c r="A86" s="31">
        <v>11</v>
      </c>
      <c r="B86" s="121">
        <v>22021058</v>
      </c>
      <c r="C86" s="122" t="s">
        <v>314</v>
      </c>
      <c r="D86" s="123">
        <v>15000000</v>
      </c>
      <c r="E86" s="32">
        <v>0</v>
      </c>
      <c r="F86" s="32">
        <v>10000000</v>
      </c>
      <c r="G86" s="32">
        <f t="shared" si="4"/>
        <v>25000000</v>
      </c>
      <c r="H86" s="31" t="s">
        <v>240</v>
      </c>
    </row>
    <row r="87" spans="1:8" x14ac:dyDescent="0.3">
      <c r="A87" s="31">
        <v>12</v>
      </c>
      <c r="B87" s="121">
        <v>22021062</v>
      </c>
      <c r="C87" s="122" t="s">
        <v>325</v>
      </c>
      <c r="D87" s="123">
        <v>2000000</v>
      </c>
      <c r="E87" s="32">
        <v>0</v>
      </c>
      <c r="F87" s="32">
        <v>5000000</v>
      </c>
      <c r="G87" s="32">
        <f t="shared" si="4"/>
        <v>7000000</v>
      </c>
      <c r="H87" s="31" t="s">
        <v>240</v>
      </c>
    </row>
    <row r="88" spans="1:8" x14ac:dyDescent="0.3">
      <c r="A88" s="588" t="s">
        <v>23</v>
      </c>
      <c r="B88" s="588"/>
      <c r="C88" s="588"/>
      <c r="D88" s="119">
        <f>SUM(D76:D87)</f>
        <v>27100000</v>
      </c>
      <c r="E88" s="117">
        <f t="shared" ref="E88:F88" si="5">SUM(E76:E87)</f>
        <v>0</v>
      </c>
      <c r="F88" s="119">
        <f t="shared" si="5"/>
        <v>15000000</v>
      </c>
      <c r="G88" s="119">
        <f>SUM(G76:G87)</f>
        <v>42100000</v>
      </c>
      <c r="H88" s="338"/>
    </row>
    <row r="101" spans="1:8" x14ac:dyDescent="0.3">
      <c r="A101" s="587" t="s">
        <v>213</v>
      </c>
      <c r="B101" s="587"/>
      <c r="C101" s="587"/>
      <c r="D101" s="587"/>
      <c r="E101" s="587"/>
      <c r="F101" s="587"/>
      <c r="G101" s="587"/>
      <c r="H101" s="587"/>
    </row>
    <row r="102" spans="1:8" x14ac:dyDescent="0.3">
      <c r="A102" s="587" t="s">
        <v>1159</v>
      </c>
      <c r="B102" s="587"/>
      <c r="C102" s="587"/>
      <c r="D102" s="587"/>
      <c r="E102" s="587"/>
      <c r="F102" s="587"/>
      <c r="G102" s="587"/>
      <c r="H102" s="587"/>
    </row>
    <row r="103" spans="1:8" x14ac:dyDescent="0.3">
      <c r="A103" s="587" t="s">
        <v>215</v>
      </c>
      <c r="B103" s="587"/>
      <c r="C103" s="587"/>
      <c r="D103" s="587"/>
      <c r="E103" s="587"/>
      <c r="F103" s="587"/>
      <c r="G103" s="587"/>
      <c r="H103" s="587"/>
    </row>
    <row r="104" spans="1:8" x14ac:dyDescent="0.3">
      <c r="A104" s="336"/>
      <c r="B104" s="336"/>
      <c r="C104" s="336"/>
      <c r="D104" s="336"/>
      <c r="E104" s="336"/>
      <c r="F104" s="336"/>
      <c r="G104" s="336"/>
    </row>
    <row r="105" spans="1:8" x14ac:dyDescent="0.3">
      <c r="A105" s="33" t="s">
        <v>628</v>
      </c>
      <c r="B105" s="33"/>
      <c r="C105" s="33"/>
      <c r="D105" s="33"/>
      <c r="E105" s="33"/>
      <c r="F105" s="33"/>
      <c r="G105" s="34"/>
    </row>
    <row r="106" spans="1:8" x14ac:dyDescent="0.3">
      <c r="A106" s="34"/>
      <c r="B106" s="336"/>
      <c r="C106" s="34"/>
      <c r="D106" s="34"/>
      <c r="E106" s="34"/>
      <c r="F106" s="34"/>
      <c r="G106" s="34"/>
    </row>
    <row r="107" spans="1:8" x14ac:dyDescent="0.3">
      <c r="A107" s="337" t="s">
        <v>629</v>
      </c>
      <c r="B107" s="337"/>
      <c r="C107" s="337"/>
      <c r="D107" s="34"/>
      <c r="E107" s="34"/>
      <c r="F107" s="34"/>
      <c r="G107" s="34"/>
    </row>
    <row r="108" spans="1:8" ht="24" x14ac:dyDescent="0.3">
      <c r="A108" s="142" t="s">
        <v>0</v>
      </c>
      <c r="B108" s="142" t="s">
        <v>20</v>
      </c>
      <c r="C108" s="142" t="s">
        <v>21</v>
      </c>
      <c r="D108" s="142" t="s">
        <v>214</v>
      </c>
      <c r="E108" s="142" t="s">
        <v>53</v>
      </c>
      <c r="F108" s="142" t="s">
        <v>22</v>
      </c>
      <c r="G108" s="142" t="s">
        <v>1160</v>
      </c>
      <c r="H108" s="142" t="s">
        <v>44</v>
      </c>
    </row>
    <row r="109" spans="1:8" x14ac:dyDescent="0.3">
      <c r="A109" s="31">
        <v>1</v>
      </c>
      <c r="B109" s="121">
        <v>22020102</v>
      </c>
      <c r="C109" s="122" t="s">
        <v>216</v>
      </c>
      <c r="D109" s="123">
        <v>5000000</v>
      </c>
      <c r="E109" s="32"/>
      <c r="F109" s="32"/>
      <c r="G109" s="32">
        <f t="shared" ref="G109:G120" si="6">D109-E109+F109</f>
        <v>5000000</v>
      </c>
      <c r="H109" s="31"/>
    </row>
    <row r="110" spans="1:8" x14ac:dyDescent="0.3">
      <c r="A110" s="31">
        <v>2</v>
      </c>
      <c r="B110" s="121">
        <v>22020202</v>
      </c>
      <c r="C110" s="122" t="s">
        <v>218</v>
      </c>
      <c r="D110" s="123">
        <v>808750</v>
      </c>
      <c r="E110" s="32"/>
      <c r="F110" s="32"/>
      <c r="G110" s="32">
        <f t="shared" si="6"/>
        <v>808750</v>
      </c>
      <c r="H110" s="31"/>
    </row>
    <row r="111" spans="1:8" x14ac:dyDescent="0.3">
      <c r="A111" s="31">
        <v>3</v>
      </c>
      <c r="B111" s="121">
        <v>22020301</v>
      </c>
      <c r="C111" s="122" t="s">
        <v>220</v>
      </c>
      <c r="D111" s="123">
        <v>8000000</v>
      </c>
      <c r="E111" s="32"/>
      <c r="F111" s="32">
        <v>4000000</v>
      </c>
      <c r="G111" s="32">
        <f t="shared" si="6"/>
        <v>12000000</v>
      </c>
      <c r="H111" s="31" t="s">
        <v>240</v>
      </c>
    </row>
    <row r="112" spans="1:8" ht="15.75" customHeight="1" x14ac:dyDescent="0.3">
      <c r="A112" s="31">
        <v>4</v>
      </c>
      <c r="B112" s="121">
        <v>22020305</v>
      </c>
      <c r="C112" s="122" t="s">
        <v>233</v>
      </c>
      <c r="D112" s="123">
        <v>550000</v>
      </c>
      <c r="E112" s="32"/>
      <c r="F112" s="32"/>
      <c r="G112" s="32">
        <f t="shared" si="6"/>
        <v>550000</v>
      </c>
      <c r="H112" s="31"/>
    </row>
    <row r="113" spans="1:8" ht="20.399999999999999" x14ac:dyDescent="0.3">
      <c r="A113" s="31">
        <v>5</v>
      </c>
      <c r="B113" s="121">
        <v>22020401</v>
      </c>
      <c r="C113" s="122" t="s">
        <v>222</v>
      </c>
      <c r="D113" s="123">
        <v>1500000</v>
      </c>
      <c r="E113" s="32"/>
      <c r="F113" s="32"/>
      <c r="G113" s="32">
        <f t="shared" si="6"/>
        <v>1500000</v>
      </c>
      <c r="H113" s="31"/>
    </row>
    <row r="114" spans="1:8" x14ac:dyDescent="0.3">
      <c r="A114" s="31">
        <v>6</v>
      </c>
      <c r="B114" s="121">
        <v>22020402</v>
      </c>
      <c r="C114" s="122" t="s">
        <v>223</v>
      </c>
      <c r="D114" s="123">
        <v>700000</v>
      </c>
      <c r="E114" s="32"/>
      <c r="F114" s="32"/>
      <c r="G114" s="32">
        <f t="shared" si="6"/>
        <v>700000</v>
      </c>
      <c r="H114" s="31"/>
    </row>
    <row r="115" spans="1:8" x14ac:dyDescent="0.3">
      <c r="A115" s="31">
        <v>7</v>
      </c>
      <c r="B115" s="121">
        <v>22020501</v>
      </c>
      <c r="C115" s="122" t="s">
        <v>225</v>
      </c>
      <c r="D115" s="123">
        <v>400000</v>
      </c>
      <c r="E115" s="32"/>
      <c r="F115" s="32"/>
      <c r="G115" s="32">
        <f t="shared" si="6"/>
        <v>400000</v>
      </c>
      <c r="H115" s="31"/>
    </row>
    <row r="116" spans="1:8" ht="16.5" customHeight="1" x14ac:dyDescent="0.3">
      <c r="A116" s="31">
        <v>8</v>
      </c>
      <c r="B116" s="121">
        <v>22020503</v>
      </c>
      <c r="C116" s="122" t="s">
        <v>236</v>
      </c>
      <c r="D116" s="123">
        <v>5000000</v>
      </c>
      <c r="E116" s="32"/>
      <c r="F116" s="32">
        <v>5000000</v>
      </c>
      <c r="G116" s="32">
        <f t="shared" si="6"/>
        <v>10000000</v>
      </c>
      <c r="H116" s="31" t="s">
        <v>240</v>
      </c>
    </row>
    <row r="117" spans="1:8" x14ac:dyDescent="0.3">
      <c r="A117" s="31">
        <v>9</v>
      </c>
      <c r="B117" s="121">
        <v>22020601</v>
      </c>
      <c r="C117" s="122" t="s">
        <v>226</v>
      </c>
      <c r="D117" s="123">
        <v>6500000</v>
      </c>
      <c r="E117" s="32"/>
      <c r="F117" s="32">
        <v>6000000</v>
      </c>
      <c r="G117" s="32">
        <f t="shared" si="6"/>
        <v>12500000</v>
      </c>
      <c r="H117" s="31" t="s">
        <v>240</v>
      </c>
    </row>
    <row r="118" spans="1:8" x14ac:dyDescent="0.3">
      <c r="A118" s="31">
        <v>10</v>
      </c>
      <c r="B118" s="121">
        <v>22021001</v>
      </c>
      <c r="C118" s="122" t="s">
        <v>229</v>
      </c>
      <c r="D118" s="123">
        <v>9000000</v>
      </c>
      <c r="E118" s="32"/>
      <c r="F118" s="32">
        <v>8000000</v>
      </c>
      <c r="G118" s="32">
        <f t="shared" si="6"/>
        <v>17000000</v>
      </c>
      <c r="H118" s="31" t="s">
        <v>240</v>
      </c>
    </row>
    <row r="119" spans="1:8" x14ac:dyDescent="0.3">
      <c r="A119" s="31">
        <v>11</v>
      </c>
      <c r="B119" s="121">
        <v>22021002</v>
      </c>
      <c r="C119" s="122" t="s">
        <v>243</v>
      </c>
      <c r="D119" s="123">
        <v>8000000</v>
      </c>
      <c r="E119" s="32"/>
      <c r="F119" s="32">
        <v>4000000</v>
      </c>
      <c r="G119" s="32">
        <f t="shared" si="6"/>
        <v>12000000</v>
      </c>
      <c r="H119" s="31" t="s">
        <v>240</v>
      </c>
    </row>
    <row r="120" spans="1:8" x14ac:dyDescent="0.3">
      <c r="A120" s="31">
        <v>12</v>
      </c>
      <c r="B120" s="121">
        <v>22021007</v>
      </c>
      <c r="C120" s="122" t="s">
        <v>230</v>
      </c>
      <c r="D120" s="123">
        <v>700000</v>
      </c>
      <c r="E120" s="32"/>
      <c r="F120" s="32"/>
      <c r="G120" s="32">
        <f t="shared" si="6"/>
        <v>700000</v>
      </c>
      <c r="H120" s="31"/>
    </row>
    <row r="121" spans="1:8" x14ac:dyDescent="0.3">
      <c r="A121" s="588" t="s">
        <v>23</v>
      </c>
      <c r="B121" s="588"/>
      <c r="C121" s="588"/>
      <c r="D121" s="119">
        <f t="shared" ref="D121:F121" si="7">SUM(D107:D120)</f>
        <v>46158750</v>
      </c>
      <c r="E121" s="117">
        <f t="shared" si="7"/>
        <v>0</v>
      </c>
      <c r="F121" s="117">
        <f t="shared" si="7"/>
        <v>27000000</v>
      </c>
      <c r="G121" s="119">
        <f>SUM(G107:G120)</f>
        <v>73158750</v>
      </c>
      <c r="H121" s="338"/>
    </row>
    <row r="133" spans="1:8" x14ac:dyDescent="0.3">
      <c r="A133" s="587" t="s">
        <v>213</v>
      </c>
      <c r="B133" s="587"/>
      <c r="C133" s="587"/>
      <c r="D133" s="587"/>
      <c r="E133" s="587"/>
      <c r="F133" s="587"/>
      <c r="G133" s="587"/>
      <c r="H133" s="587"/>
    </row>
    <row r="134" spans="1:8" x14ac:dyDescent="0.3">
      <c r="A134" s="587" t="s">
        <v>1159</v>
      </c>
      <c r="B134" s="587"/>
      <c r="C134" s="587"/>
      <c r="D134" s="587"/>
      <c r="E134" s="587"/>
      <c r="F134" s="587"/>
      <c r="G134" s="587"/>
      <c r="H134" s="587"/>
    </row>
    <row r="135" spans="1:8" x14ac:dyDescent="0.3">
      <c r="A135" s="587" t="s">
        <v>215</v>
      </c>
      <c r="B135" s="587"/>
      <c r="C135" s="587"/>
      <c r="D135" s="587"/>
      <c r="E135" s="587"/>
      <c r="F135" s="587"/>
      <c r="G135" s="587"/>
      <c r="H135" s="587"/>
    </row>
    <row r="136" spans="1:8" x14ac:dyDescent="0.3">
      <c r="A136" s="336"/>
      <c r="B136" s="336"/>
      <c r="C136" s="336"/>
      <c r="D136" s="336"/>
      <c r="E136" s="336"/>
      <c r="F136" s="336"/>
      <c r="G136" s="336"/>
    </row>
    <row r="137" spans="1:8" x14ac:dyDescent="0.3">
      <c r="A137" s="33" t="s">
        <v>630</v>
      </c>
      <c r="B137" s="33"/>
      <c r="C137" s="33"/>
      <c r="D137" s="33"/>
      <c r="E137" s="33"/>
      <c r="F137" s="33"/>
      <c r="G137" s="34"/>
    </row>
    <row r="138" spans="1:8" x14ac:dyDescent="0.3">
      <c r="A138" s="34"/>
      <c r="B138" s="336"/>
      <c r="C138" s="34"/>
      <c r="D138" s="34"/>
      <c r="E138" s="34"/>
      <c r="F138" s="34"/>
      <c r="G138" s="34"/>
    </row>
    <row r="139" spans="1:8" x14ac:dyDescent="0.3">
      <c r="A139" s="337" t="s">
        <v>631</v>
      </c>
      <c r="B139" s="337"/>
      <c r="C139" s="337"/>
      <c r="D139" s="34"/>
      <c r="E139" s="34"/>
      <c r="F139" s="34"/>
      <c r="G139" s="34"/>
    </row>
    <row r="140" spans="1:8" ht="24" x14ac:dyDescent="0.3">
      <c r="A140" s="142" t="s">
        <v>0</v>
      </c>
      <c r="B140" s="142" t="s">
        <v>20</v>
      </c>
      <c r="C140" s="142" t="s">
        <v>21</v>
      </c>
      <c r="D140" s="142" t="s">
        <v>214</v>
      </c>
      <c r="E140" s="142" t="s">
        <v>53</v>
      </c>
      <c r="F140" s="142" t="s">
        <v>22</v>
      </c>
      <c r="G140" s="142" t="s">
        <v>1160</v>
      </c>
      <c r="H140" s="142" t="s">
        <v>44</v>
      </c>
    </row>
    <row r="141" spans="1:8" x14ac:dyDescent="0.3">
      <c r="A141" s="146">
        <v>1</v>
      </c>
      <c r="B141" s="121">
        <v>22020102</v>
      </c>
      <c r="C141" s="122" t="s">
        <v>216</v>
      </c>
      <c r="D141" s="123">
        <v>7110000</v>
      </c>
      <c r="E141" s="143">
        <v>0</v>
      </c>
      <c r="F141" s="32">
        <v>5000000</v>
      </c>
      <c r="G141" s="32">
        <f t="shared" ref="G141:G155" si="8">D141-E141+F141</f>
        <v>12110000</v>
      </c>
      <c r="H141" s="31" t="s">
        <v>240</v>
      </c>
    </row>
    <row r="142" spans="1:8" x14ac:dyDescent="0.3">
      <c r="A142" s="146">
        <v>2</v>
      </c>
      <c r="B142" s="121">
        <v>22020201</v>
      </c>
      <c r="C142" s="122" t="s">
        <v>217</v>
      </c>
      <c r="D142" s="123">
        <v>340000</v>
      </c>
      <c r="E142" s="143">
        <v>0</v>
      </c>
      <c r="F142" s="143">
        <v>0</v>
      </c>
      <c r="G142" s="32">
        <f t="shared" si="8"/>
        <v>340000</v>
      </c>
      <c r="H142" s="31"/>
    </row>
    <row r="143" spans="1:8" x14ac:dyDescent="0.3">
      <c r="A143" s="146">
        <v>3</v>
      </c>
      <c r="B143" s="121">
        <v>22020202</v>
      </c>
      <c r="C143" s="122" t="s">
        <v>218</v>
      </c>
      <c r="D143" s="123">
        <v>450000</v>
      </c>
      <c r="E143" s="143">
        <v>0</v>
      </c>
      <c r="F143" s="143">
        <v>0</v>
      </c>
      <c r="G143" s="32">
        <f t="shared" si="8"/>
        <v>450000</v>
      </c>
      <c r="H143" s="31"/>
    </row>
    <row r="144" spans="1:8" x14ac:dyDescent="0.3">
      <c r="A144" s="146">
        <v>4</v>
      </c>
      <c r="B144" s="121">
        <v>22020301</v>
      </c>
      <c r="C144" s="122" t="s">
        <v>220</v>
      </c>
      <c r="D144" s="123">
        <v>1500000</v>
      </c>
      <c r="E144" s="143">
        <v>0</v>
      </c>
      <c r="F144" s="143">
        <v>0</v>
      </c>
      <c r="G144" s="32">
        <f t="shared" si="8"/>
        <v>1500000</v>
      </c>
      <c r="H144" s="31"/>
    </row>
    <row r="145" spans="1:9" x14ac:dyDescent="0.3">
      <c r="A145" s="146">
        <v>5</v>
      </c>
      <c r="B145" s="121">
        <v>22020303</v>
      </c>
      <c r="C145" s="122" t="s">
        <v>276</v>
      </c>
      <c r="D145" s="123">
        <v>300000</v>
      </c>
      <c r="E145" s="143">
        <v>0</v>
      </c>
      <c r="F145" s="143">
        <v>0</v>
      </c>
      <c r="G145" s="32">
        <f t="shared" si="8"/>
        <v>300000</v>
      </c>
      <c r="H145" s="31"/>
    </row>
    <row r="146" spans="1:9" x14ac:dyDescent="0.3">
      <c r="A146" s="146">
        <v>6</v>
      </c>
      <c r="B146" s="121">
        <v>22020305</v>
      </c>
      <c r="C146" s="122" t="s">
        <v>233</v>
      </c>
      <c r="D146" s="123">
        <v>200000</v>
      </c>
      <c r="E146" s="143">
        <v>0</v>
      </c>
      <c r="F146" s="143">
        <v>0</v>
      </c>
      <c r="G146" s="32">
        <f t="shared" si="8"/>
        <v>200000</v>
      </c>
      <c r="H146" s="31"/>
    </row>
    <row r="147" spans="1:9" x14ac:dyDescent="0.3">
      <c r="A147" s="146">
        <v>7</v>
      </c>
      <c r="B147" s="121">
        <v>22020306</v>
      </c>
      <c r="C147" s="122" t="s">
        <v>221</v>
      </c>
      <c r="D147" s="143">
        <v>0</v>
      </c>
      <c r="E147" s="143">
        <v>0</v>
      </c>
      <c r="F147" s="143">
        <v>0</v>
      </c>
      <c r="G147" s="32">
        <f t="shared" si="8"/>
        <v>0</v>
      </c>
      <c r="H147" s="31"/>
    </row>
    <row r="148" spans="1:9" ht="20.399999999999999" x14ac:dyDescent="0.3">
      <c r="A148" s="146">
        <v>8</v>
      </c>
      <c r="B148" s="121">
        <v>22020401</v>
      </c>
      <c r="C148" s="122" t="s">
        <v>222</v>
      </c>
      <c r="D148" s="123">
        <v>1000000</v>
      </c>
      <c r="E148" s="143">
        <v>0</v>
      </c>
      <c r="F148" s="143">
        <v>0</v>
      </c>
      <c r="G148" s="32">
        <f t="shared" si="8"/>
        <v>1000000</v>
      </c>
      <c r="H148" s="31"/>
    </row>
    <row r="149" spans="1:9" x14ac:dyDescent="0.3">
      <c r="A149" s="146">
        <v>9</v>
      </c>
      <c r="B149" s="121">
        <v>22020402</v>
      </c>
      <c r="C149" s="122" t="s">
        <v>223</v>
      </c>
      <c r="D149" s="123">
        <v>600000</v>
      </c>
      <c r="E149" s="143">
        <v>0</v>
      </c>
      <c r="F149" s="143">
        <v>0</v>
      </c>
      <c r="G149" s="32">
        <f t="shared" si="8"/>
        <v>600000</v>
      </c>
      <c r="H149" s="31"/>
    </row>
    <row r="150" spans="1:9" x14ac:dyDescent="0.3">
      <c r="A150" s="146">
        <v>10</v>
      </c>
      <c r="B150" s="121">
        <v>22020501</v>
      </c>
      <c r="C150" s="122" t="s">
        <v>225</v>
      </c>
      <c r="D150" s="123">
        <v>3900000</v>
      </c>
      <c r="E150" s="143">
        <v>0</v>
      </c>
      <c r="F150" s="143">
        <v>0</v>
      </c>
      <c r="G150" s="32">
        <f t="shared" si="8"/>
        <v>3900000</v>
      </c>
      <c r="H150" s="31"/>
    </row>
    <row r="151" spans="1:9" ht="15" customHeight="1" x14ac:dyDescent="0.3">
      <c r="A151" s="146">
        <v>11</v>
      </c>
      <c r="B151" s="121">
        <v>22020503</v>
      </c>
      <c r="C151" s="122" t="s">
        <v>236</v>
      </c>
      <c r="D151" s="123">
        <v>6000000</v>
      </c>
      <c r="E151" s="143">
        <v>0</v>
      </c>
      <c r="F151" s="143">
        <v>0</v>
      </c>
      <c r="G151" s="32">
        <f t="shared" si="8"/>
        <v>6000000</v>
      </c>
      <c r="H151" s="31"/>
    </row>
    <row r="152" spans="1:9" x14ac:dyDescent="0.3">
      <c r="A152" s="146">
        <v>12</v>
      </c>
      <c r="B152" s="121">
        <v>22020702</v>
      </c>
      <c r="C152" s="122" t="s">
        <v>277</v>
      </c>
      <c r="D152" s="123">
        <v>1000000</v>
      </c>
      <c r="E152" s="143">
        <v>0</v>
      </c>
      <c r="F152" s="143">
        <v>0</v>
      </c>
      <c r="G152" s="32">
        <f t="shared" si="8"/>
        <v>1000000</v>
      </c>
      <c r="H152" s="31"/>
    </row>
    <row r="153" spans="1:9" x14ac:dyDescent="0.3">
      <c r="A153" s="146">
        <v>13</v>
      </c>
      <c r="B153" s="121">
        <v>22020712</v>
      </c>
      <c r="C153" s="122" t="s">
        <v>242</v>
      </c>
      <c r="D153" s="123">
        <v>1400000</v>
      </c>
      <c r="E153" s="143">
        <v>0</v>
      </c>
      <c r="F153" s="143">
        <v>0</v>
      </c>
      <c r="G153" s="32">
        <f t="shared" si="8"/>
        <v>1400000</v>
      </c>
      <c r="H153" s="31"/>
    </row>
    <row r="154" spans="1:9" x14ac:dyDescent="0.3">
      <c r="A154" s="146">
        <v>14</v>
      </c>
      <c r="B154" s="121">
        <v>22021001</v>
      </c>
      <c r="C154" s="122" t="s">
        <v>229</v>
      </c>
      <c r="D154" s="123">
        <v>600000</v>
      </c>
      <c r="E154" s="143">
        <v>0</v>
      </c>
      <c r="F154" s="143">
        <v>0</v>
      </c>
      <c r="G154" s="32">
        <f t="shared" si="8"/>
        <v>600000</v>
      </c>
      <c r="H154" s="31"/>
    </row>
    <row r="155" spans="1:9" x14ac:dyDescent="0.3">
      <c r="A155" s="146">
        <v>15</v>
      </c>
      <c r="B155" s="121">
        <v>22021007</v>
      </c>
      <c r="C155" s="122" t="s">
        <v>230</v>
      </c>
      <c r="D155" s="123">
        <v>600000</v>
      </c>
      <c r="E155" s="143">
        <v>0</v>
      </c>
      <c r="F155" s="32">
        <v>2000000</v>
      </c>
      <c r="G155" s="32">
        <f t="shared" si="8"/>
        <v>2600000</v>
      </c>
      <c r="H155" s="31" t="s">
        <v>240</v>
      </c>
      <c r="I155" s="8"/>
    </row>
    <row r="156" spans="1:9" x14ac:dyDescent="0.3">
      <c r="A156" s="588" t="s">
        <v>23</v>
      </c>
      <c r="B156" s="588"/>
      <c r="C156" s="588"/>
      <c r="D156" s="119">
        <f>SUM(D141:D155)</f>
        <v>25000000</v>
      </c>
      <c r="E156" s="117">
        <f>SUM(E141:E155)</f>
        <v>0</v>
      </c>
      <c r="F156" s="119">
        <f>SUM(F141:F155)</f>
        <v>7000000</v>
      </c>
      <c r="G156" s="119">
        <f>SUM(G141:G155)</f>
        <v>32000000</v>
      </c>
      <c r="H156" s="338"/>
    </row>
    <row r="166" spans="1:8" x14ac:dyDescent="0.3">
      <c r="A166" s="587" t="s">
        <v>213</v>
      </c>
      <c r="B166" s="587"/>
      <c r="C166" s="587"/>
      <c r="D166" s="587"/>
      <c r="E166" s="587"/>
      <c r="F166" s="587"/>
      <c r="G166" s="587"/>
      <c r="H166" s="587"/>
    </row>
    <row r="167" spans="1:8" x14ac:dyDescent="0.3">
      <c r="A167" s="587" t="s">
        <v>1159</v>
      </c>
      <c r="B167" s="587"/>
      <c r="C167" s="587"/>
      <c r="D167" s="587"/>
      <c r="E167" s="587"/>
      <c r="F167" s="587"/>
      <c r="G167" s="587"/>
      <c r="H167" s="587"/>
    </row>
    <row r="168" spans="1:8" x14ac:dyDescent="0.3">
      <c r="A168" s="587" t="s">
        <v>215</v>
      </c>
      <c r="B168" s="587"/>
      <c r="C168" s="587"/>
      <c r="D168" s="587"/>
      <c r="E168" s="587"/>
      <c r="F168" s="587"/>
      <c r="G168" s="587"/>
      <c r="H168" s="587"/>
    </row>
    <row r="169" spans="1:8" x14ac:dyDescent="0.3">
      <c r="A169" s="336"/>
      <c r="B169" s="336"/>
      <c r="C169" s="336"/>
      <c r="D169" s="336"/>
      <c r="E169" s="336"/>
      <c r="F169" s="336"/>
      <c r="G169" s="336"/>
    </row>
    <row r="170" spans="1:8" x14ac:dyDescent="0.3">
      <c r="A170" s="33" t="s">
        <v>632</v>
      </c>
      <c r="B170" s="33"/>
      <c r="C170" s="33"/>
      <c r="D170" s="33"/>
      <c r="E170" s="33"/>
      <c r="F170" s="33"/>
      <c r="G170" s="34"/>
    </row>
    <row r="171" spans="1:8" x14ac:dyDescent="0.3">
      <c r="A171" s="34"/>
      <c r="B171" s="336"/>
      <c r="C171" s="34"/>
      <c r="D171" s="34"/>
      <c r="E171" s="34"/>
      <c r="F171" s="34"/>
      <c r="G171" s="34"/>
    </row>
    <row r="172" spans="1:8" x14ac:dyDescent="0.3">
      <c r="A172" s="337" t="s">
        <v>633</v>
      </c>
      <c r="B172" s="337"/>
      <c r="C172" s="337"/>
      <c r="D172" s="34"/>
      <c r="E172" s="34"/>
      <c r="F172" s="34"/>
      <c r="G172" s="34"/>
    </row>
    <row r="173" spans="1:8" ht="24" x14ac:dyDescent="0.3">
      <c r="A173" s="142" t="s">
        <v>0</v>
      </c>
      <c r="B173" s="142" t="s">
        <v>20</v>
      </c>
      <c r="C173" s="142" t="s">
        <v>21</v>
      </c>
      <c r="D173" s="142" t="s">
        <v>214</v>
      </c>
      <c r="E173" s="142" t="s">
        <v>53</v>
      </c>
      <c r="F173" s="142" t="s">
        <v>22</v>
      </c>
      <c r="G173" s="142" t="s">
        <v>1160</v>
      </c>
      <c r="H173" s="142" t="s">
        <v>44</v>
      </c>
    </row>
    <row r="174" spans="1:8" x14ac:dyDescent="0.3">
      <c r="A174" s="31"/>
      <c r="B174" s="121">
        <v>22020102</v>
      </c>
      <c r="C174" s="122" t="s">
        <v>216</v>
      </c>
      <c r="D174" s="123">
        <v>5830250</v>
      </c>
      <c r="E174" s="32">
        <v>0</v>
      </c>
      <c r="F174" s="32">
        <v>0</v>
      </c>
      <c r="G174" s="32">
        <f t="shared" ref="G174:G186" si="9">D174-E174+F174</f>
        <v>5830250</v>
      </c>
      <c r="H174" s="31"/>
    </row>
    <row r="175" spans="1:8" x14ac:dyDescent="0.3">
      <c r="A175" s="31"/>
      <c r="B175" s="121">
        <v>22020104</v>
      </c>
      <c r="C175" s="122" t="s">
        <v>260</v>
      </c>
      <c r="D175" s="123">
        <v>45000000</v>
      </c>
      <c r="E175" s="32">
        <v>0</v>
      </c>
      <c r="F175" s="32">
        <v>15000000</v>
      </c>
      <c r="G175" s="32">
        <f t="shared" si="9"/>
        <v>60000000</v>
      </c>
      <c r="H175" s="31" t="s">
        <v>240</v>
      </c>
    </row>
    <row r="176" spans="1:8" x14ac:dyDescent="0.3">
      <c r="A176" s="31"/>
      <c r="B176" s="121">
        <v>22020201</v>
      </c>
      <c r="C176" s="122" t="s">
        <v>217</v>
      </c>
      <c r="D176" s="123">
        <v>100000</v>
      </c>
      <c r="E176" s="32">
        <v>0</v>
      </c>
      <c r="F176" s="32">
        <v>0</v>
      </c>
      <c r="G176" s="32">
        <f t="shared" si="9"/>
        <v>100000</v>
      </c>
      <c r="H176" s="31"/>
    </row>
    <row r="177" spans="1:8" x14ac:dyDescent="0.3">
      <c r="A177" s="31"/>
      <c r="B177" s="121">
        <v>22020202</v>
      </c>
      <c r="C177" s="122" t="s">
        <v>218</v>
      </c>
      <c r="D177" s="123">
        <v>50000</v>
      </c>
      <c r="E177" s="32">
        <v>0</v>
      </c>
      <c r="F177" s="32">
        <v>0</v>
      </c>
      <c r="G177" s="32">
        <f t="shared" si="9"/>
        <v>50000</v>
      </c>
      <c r="H177" s="31"/>
    </row>
    <row r="178" spans="1:8" x14ac:dyDescent="0.3">
      <c r="A178" s="31"/>
      <c r="B178" s="121">
        <v>22020301</v>
      </c>
      <c r="C178" s="122" t="s">
        <v>220</v>
      </c>
      <c r="D178" s="123">
        <v>240000</v>
      </c>
      <c r="E178" s="32">
        <v>0</v>
      </c>
      <c r="F178" s="32">
        <v>0</v>
      </c>
      <c r="G178" s="32">
        <f t="shared" si="9"/>
        <v>240000</v>
      </c>
      <c r="H178" s="31"/>
    </row>
    <row r="179" spans="1:8" ht="20.399999999999999" x14ac:dyDescent="0.3">
      <c r="A179" s="31"/>
      <c r="B179" s="121">
        <v>22020401</v>
      </c>
      <c r="C179" s="122" t="s">
        <v>222</v>
      </c>
      <c r="D179" s="123">
        <v>400000</v>
      </c>
      <c r="E179" s="32">
        <v>0</v>
      </c>
      <c r="F179" s="32">
        <v>0</v>
      </c>
      <c r="G179" s="32">
        <f t="shared" si="9"/>
        <v>400000</v>
      </c>
      <c r="H179" s="31"/>
    </row>
    <row r="180" spans="1:8" x14ac:dyDescent="0.3">
      <c r="A180" s="31"/>
      <c r="B180" s="121">
        <v>22020402</v>
      </c>
      <c r="C180" s="122" t="s">
        <v>223</v>
      </c>
      <c r="D180" s="123">
        <v>426000</v>
      </c>
      <c r="E180" s="32">
        <v>0</v>
      </c>
      <c r="F180" s="32">
        <v>0</v>
      </c>
      <c r="G180" s="32">
        <f t="shared" si="9"/>
        <v>426000</v>
      </c>
      <c r="H180" s="31"/>
    </row>
    <row r="181" spans="1:8" x14ac:dyDescent="0.3">
      <c r="A181" s="31"/>
      <c r="B181" s="121">
        <v>22020501</v>
      </c>
      <c r="C181" s="122" t="s">
        <v>225</v>
      </c>
      <c r="D181" s="123">
        <v>200000</v>
      </c>
      <c r="E181" s="32">
        <v>0</v>
      </c>
      <c r="F181" s="32">
        <v>0</v>
      </c>
      <c r="G181" s="32">
        <f t="shared" si="9"/>
        <v>200000</v>
      </c>
      <c r="H181" s="31"/>
    </row>
    <row r="182" spans="1:8" x14ac:dyDescent="0.3">
      <c r="A182" s="31"/>
      <c r="B182" s="121">
        <v>22021001</v>
      </c>
      <c r="C182" s="122" t="s">
        <v>229</v>
      </c>
      <c r="D182" s="123">
        <v>450000</v>
      </c>
      <c r="E182" s="32">
        <v>0</v>
      </c>
      <c r="F182" s="32">
        <v>0</v>
      </c>
      <c r="G182" s="32">
        <f t="shared" si="9"/>
        <v>450000</v>
      </c>
      <c r="H182" s="31"/>
    </row>
    <row r="183" spans="1:8" x14ac:dyDescent="0.3">
      <c r="A183" s="31"/>
      <c r="B183" s="121">
        <v>22021002</v>
      </c>
      <c r="C183" s="122" t="s">
        <v>243</v>
      </c>
      <c r="D183" s="123">
        <v>1200000</v>
      </c>
      <c r="E183" s="32">
        <v>0</v>
      </c>
      <c r="F183" s="32">
        <v>0</v>
      </c>
      <c r="G183" s="32">
        <f t="shared" si="9"/>
        <v>1200000</v>
      </c>
      <c r="H183" s="31"/>
    </row>
    <row r="184" spans="1:8" x14ac:dyDescent="0.3">
      <c r="A184" s="31"/>
      <c r="B184" s="121">
        <v>22021007</v>
      </c>
      <c r="C184" s="122" t="s">
        <v>230</v>
      </c>
      <c r="D184" s="123">
        <v>500000</v>
      </c>
      <c r="E184" s="32">
        <v>0</v>
      </c>
      <c r="F184" s="32">
        <v>0</v>
      </c>
      <c r="G184" s="32">
        <f t="shared" si="9"/>
        <v>500000</v>
      </c>
      <c r="H184" s="31"/>
    </row>
    <row r="185" spans="1:8" x14ac:dyDescent="0.3">
      <c r="A185" s="31"/>
      <c r="B185" s="121">
        <v>22021052</v>
      </c>
      <c r="C185" s="122" t="s">
        <v>252</v>
      </c>
      <c r="D185" s="123">
        <v>3300000</v>
      </c>
      <c r="E185" s="32">
        <v>0</v>
      </c>
      <c r="F185" s="32">
        <v>0</v>
      </c>
      <c r="G185" s="32">
        <f t="shared" si="9"/>
        <v>3300000</v>
      </c>
      <c r="H185" s="31"/>
    </row>
    <row r="186" spans="1:8" x14ac:dyDescent="0.3">
      <c r="A186" s="31"/>
      <c r="B186" s="121">
        <v>22021060</v>
      </c>
      <c r="C186" s="122" t="s">
        <v>231</v>
      </c>
      <c r="D186" s="123">
        <v>3500000</v>
      </c>
      <c r="E186" s="32">
        <v>0</v>
      </c>
      <c r="F186" s="32">
        <v>0</v>
      </c>
      <c r="G186" s="32">
        <f t="shared" si="9"/>
        <v>3500000</v>
      </c>
      <c r="H186" s="31"/>
    </row>
    <row r="187" spans="1:8" x14ac:dyDescent="0.3">
      <c r="A187" s="588" t="s">
        <v>23</v>
      </c>
      <c r="B187" s="588"/>
      <c r="C187" s="588"/>
      <c r="D187" s="119">
        <f t="shared" ref="D187:F187" si="10">SUM(D174:D186)</f>
        <v>61196250</v>
      </c>
      <c r="E187" s="117">
        <f t="shared" si="10"/>
        <v>0</v>
      </c>
      <c r="F187" s="117">
        <f t="shared" si="10"/>
        <v>15000000</v>
      </c>
      <c r="G187" s="119">
        <f>SUM(G174:G186)</f>
        <v>76196250</v>
      </c>
      <c r="H187" s="338"/>
    </row>
    <row r="198" spans="1:8" x14ac:dyDescent="0.3">
      <c r="A198" s="587" t="s">
        <v>213</v>
      </c>
      <c r="B198" s="587"/>
      <c r="C198" s="587"/>
      <c r="D198" s="587"/>
      <c r="E198" s="587"/>
      <c r="F198" s="587"/>
      <c r="G198" s="587"/>
      <c r="H198" s="587"/>
    </row>
    <row r="199" spans="1:8" x14ac:dyDescent="0.3">
      <c r="A199" s="587" t="s">
        <v>1159</v>
      </c>
      <c r="B199" s="587"/>
      <c r="C199" s="587"/>
      <c r="D199" s="587"/>
      <c r="E199" s="587"/>
      <c r="F199" s="587"/>
      <c r="G199" s="587"/>
      <c r="H199" s="587"/>
    </row>
    <row r="200" spans="1:8" x14ac:dyDescent="0.3">
      <c r="A200" s="587" t="s">
        <v>215</v>
      </c>
      <c r="B200" s="587"/>
      <c r="C200" s="587"/>
      <c r="D200" s="587"/>
      <c r="E200" s="587"/>
      <c r="F200" s="587"/>
      <c r="G200" s="587"/>
      <c r="H200" s="587"/>
    </row>
    <row r="201" spans="1:8" x14ac:dyDescent="0.3">
      <c r="A201" s="336"/>
      <c r="B201" s="336"/>
      <c r="C201" s="336"/>
      <c r="D201" s="336"/>
      <c r="E201" s="336"/>
      <c r="F201" s="336"/>
      <c r="G201" s="336"/>
    </row>
    <row r="202" spans="1:8" x14ac:dyDescent="0.3">
      <c r="A202" s="33" t="s">
        <v>634</v>
      </c>
      <c r="B202" s="33"/>
      <c r="C202" s="33"/>
      <c r="D202" s="33"/>
      <c r="E202" s="33"/>
      <c r="F202" s="33"/>
      <c r="G202" s="34"/>
    </row>
    <row r="203" spans="1:8" x14ac:dyDescent="0.3">
      <c r="A203" s="34"/>
      <c r="B203" s="336"/>
      <c r="C203" s="34"/>
      <c r="D203" s="34"/>
      <c r="E203" s="34"/>
      <c r="F203" s="34"/>
      <c r="G203" s="34"/>
    </row>
    <row r="204" spans="1:8" x14ac:dyDescent="0.3">
      <c r="A204" s="337" t="s">
        <v>635</v>
      </c>
      <c r="B204" s="337"/>
      <c r="C204" s="337"/>
      <c r="D204" s="34"/>
      <c r="E204" s="34"/>
      <c r="F204" s="34"/>
      <c r="G204" s="34"/>
    </row>
    <row r="205" spans="1:8" ht="24" x14ac:dyDescent="0.3">
      <c r="A205" s="142" t="s">
        <v>0</v>
      </c>
      <c r="B205" s="142" t="s">
        <v>20</v>
      </c>
      <c r="C205" s="142" t="s">
        <v>21</v>
      </c>
      <c r="D205" s="142" t="s">
        <v>214</v>
      </c>
      <c r="E205" s="142" t="s">
        <v>53</v>
      </c>
      <c r="F205" s="142" t="s">
        <v>22</v>
      </c>
      <c r="G205" s="142" t="s">
        <v>1160</v>
      </c>
      <c r="H205" s="142" t="s">
        <v>44</v>
      </c>
    </row>
    <row r="206" spans="1:8" x14ac:dyDescent="0.3">
      <c r="A206" s="31">
        <v>1</v>
      </c>
      <c r="B206" s="121">
        <v>22020102</v>
      </c>
      <c r="C206" s="122" t="s">
        <v>216</v>
      </c>
      <c r="D206" s="123">
        <v>3000000</v>
      </c>
      <c r="E206" s="32">
        <v>0</v>
      </c>
      <c r="F206" s="32">
        <v>0</v>
      </c>
      <c r="G206" s="32">
        <f t="shared" ref="G206:G219" si="11">D206-E206+F206</f>
        <v>3000000</v>
      </c>
      <c r="H206" s="31"/>
    </row>
    <row r="207" spans="1:8" x14ac:dyDescent="0.3">
      <c r="A207" s="31">
        <v>2</v>
      </c>
      <c r="B207" s="121">
        <v>22020201</v>
      </c>
      <c r="C207" s="122" t="s">
        <v>217</v>
      </c>
      <c r="D207" s="123">
        <v>300000</v>
      </c>
      <c r="E207" s="32">
        <v>0</v>
      </c>
      <c r="F207" s="32">
        <v>0</v>
      </c>
      <c r="G207" s="32">
        <f t="shared" si="11"/>
        <v>300000</v>
      </c>
      <c r="H207" s="31"/>
    </row>
    <row r="208" spans="1:8" x14ac:dyDescent="0.3">
      <c r="A208" s="31">
        <v>3</v>
      </c>
      <c r="B208" s="121">
        <v>22020202</v>
      </c>
      <c r="C208" s="122" t="s">
        <v>218</v>
      </c>
      <c r="D208" s="123">
        <v>500000</v>
      </c>
      <c r="E208" s="32">
        <v>0</v>
      </c>
      <c r="F208" s="32">
        <v>0</v>
      </c>
      <c r="G208" s="32">
        <f t="shared" si="11"/>
        <v>500000</v>
      </c>
      <c r="H208" s="31"/>
    </row>
    <row r="209" spans="1:8" x14ac:dyDescent="0.3">
      <c r="A209" s="31">
        <v>4</v>
      </c>
      <c r="B209" s="121">
        <v>22020203</v>
      </c>
      <c r="C209" s="122" t="s">
        <v>219</v>
      </c>
      <c r="D209" s="123">
        <v>1000000</v>
      </c>
      <c r="E209" s="32">
        <v>0</v>
      </c>
      <c r="F209" s="32">
        <v>0</v>
      </c>
      <c r="G209" s="32">
        <f t="shared" si="11"/>
        <v>1000000</v>
      </c>
      <c r="H209" s="31"/>
    </row>
    <row r="210" spans="1:8" x14ac:dyDescent="0.3">
      <c r="A210" s="31">
        <v>5</v>
      </c>
      <c r="B210" s="121">
        <v>22020210</v>
      </c>
      <c r="C210" s="122" t="s">
        <v>232</v>
      </c>
      <c r="D210" s="123">
        <v>1500000</v>
      </c>
      <c r="E210" s="32">
        <v>0</v>
      </c>
      <c r="F210" s="32">
        <v>0</v>
      </c>
      <c r="G210" s="32">
        <f t="shared" si="11"/>
        <v>1500000</v>
      </c>
      <c r="H210" s="31"/>
    </row>
    <row r="211" spans="1:8" x14ac:dyDescent="0.3">
      <c r="A211" s="31">
        <v>6</v>
      </c>
      <c r="B211" s="121">
        <v>22020301</v>
      </c>
      <c r="C211" s="122" t="s">
        <v>220</v>
      </c>
      <c r="D211" s="123">
        <v>700000</v>
      </c>
      <c r="E211" s="32">
        <v>0</v>
      </c>
      <c r="F211" s="32">
        <v>0</v>
      </c>
      <c r="G211" s="32">
        <f t="shared" si="11"/>
        <v>700000</v>
      </c>
      <c r="H211" s="31"/>
    </row>
    <row r="212" spans="1:8" x14ac:dyDescent="0.3">
      <c r="A212" s="31">
        <v>7</v>
      </c>
      <c r="B212" s="121">
        <v>22020305</v>
      </c>
      <c r="C212" s="122" t="s">
        <v>233</v>
      </c>
      <c r="D212" s="123">
        <v>500000</v>
      </c>
      <c r="E212" s="32">
        <v>0</v>
      </c>
      <c r="F212" s="32">
        <v>0</v>
      </c>
      <c r="G212" s="32">
        <f t="shared" si="11"/>
        <v>500000</v>
      </c>
      <c r="H212" s="31"/>
    </row>
    <row r="213" spans="1:8" ht="20.399999999999999" x14ac:dyDescent="0.3">
      <c r="A213" s="31">
        <v>8</v>
      </c>
      <c r="B213" s="121">
        <v>22020401</v>
      </c>
      <c r="C213" s="122" t="s">
        <v>222</v>
      </c>
      <c r="D213" s="123">
        <v>1000000</v>
      </c>
      <c r="E213" s="32">
        <v>0</v>
      </c>
      <c r="F213" s="32">
        <v>0</v>
      </c>
      <c r="G213" s="32">
        <f t="shared" si="11"/>
        <v>1000000</v>
      </c>
      <c r="H213" s="31"/>
    </row>
    <row r="214" spans="1:8" x14ac:dyDescent="0.3">
      <c r="A214" s="31">
        <v>9</v>
      </c>
      <c r="B214" s="121">
        <v>22020402</v>
      </c>
      <c r="C214" s="122" t="s">
        <v>223</v>
      </c>
      <c r="D214" s="123">
        <v>500000</v>
      </c>
      <c r="E214" s="32">
        <v>0</v>
      </c>
      <c r="F214" s="32">
        <v>0</v>
      </c>
      <c r="G214" s="32">
        <f t="shared" si="11"/>
        <v>500000</v>
      </c>
      <c r="H214" s="31"/>
    </row>
    <row r="215" spans="1:8" x14ac:dyDescent="0.3">
      <c r="A215" s="31">
        <v>10</v>
      </c>
      <c r="B215" s="121">
        <v>22020501</v>
      </c>
      <c r="C215" s="122" t="s">
        <v>225</v>
      </c>
      <c r="D215" s="123">
        <v>3000000</v>
      </c>
      <c r="E215" s="32">
        <v>0</v>
      </c>
      <c r="F215" s="32">
        <v>0</v>
      </c>
      <c r="G215" s="32">
        <f t="shared" si="11"/>
        <v>3000000</v>
      </c>
      <c r="H215" s="31"/>
    </row>
    <row r="216" spans="1:8" x14ac:dyDescent="0.3">
      <c r="A216" s="31">
        <v>11</v>
      </c>
      <c r="B216" s="121">
        <v>22020712</v>
      </c>
      <c r="C216" s="122" t="s">
        <v>242</v>
      </c>
      <c r="D216" s="123">
        <v>700000</v>
      </c>
      <c r="E216" s="32">
        <v>0</v>
      </c>
      <c r="F216" s="32">
        <v>0</v>
      </c>
      <c r="G216" s="32">
        <f t="shared" si="11"/>
        <v>700000</v>
      </c>
      <c r="H216" s="31"/>
    </row>
    <row r="217" spans="1:8" x14ac:dyDescent="0.3">
      <c r="A217" s="31">
        <v>12</v>
      </c>
      <c r="B217" s="121">
        <v>22020803</v>
      </c>
      <c r="C217" s="122" t="s">
        <v>239</v>
      </c>
      <c r="D217" s="123">
        <v>300000</v>
      </c>
      <c r="E217" s="32">
        <v>0</v>
      </c>
      <c r="F217" s="32">
        <v>0</v>
      </c>
      <c r="G217" s="32">
        <f t="shared" si="11"/>
        <v>300000</v>
      </c>
      <c r="H217" s="31"/>
    </row>
    <row r="218" spans="1:8" x14ac:dyDescent="0.3">
      <c r="A218" s="31">
        <v>13</v>
      </c>
      <c r="B218" s="121">
        <v>22021007</v>
      </c>
      <c r="C218" s="122" t="s">
        <v>230</v>
      </c>
      <c r="D218" s="123">
        <v>1000000</v>
      </c>
      <c r="E218" s="32">
        <v>0</v>
      </c>
      <c r="F218" s="32">
        <v>0</v>
      </c>
      <c r="G218" s="32">
        <f t="shared" si="11"/>
        <v>1000000</v>
      </c>
      <c r="H218" s="31"/>
    </row>
    <row r="219" spans="1:8" x14ac:dyDescent="0.3">
      <c r="A219" s="31">
        <v>14</v>
      </c>
      <c r="B219" s="121">
        <v>22021047</v>
      </c>
      <c r="C219" s="122" t="s">
        <v>465</v>
      </c>
      <c r="D219" s="123">
        <v>25000000</v>
      </c>
      <c r="E219" s="32">
        <v>0</v>
      </c>
      <c r="F219" s="32">
        <v>12000000</v>
      </c>
      <c r="G219" s="32">
        <f t="shared" si="11"/>
        <v>37000000</v>
      </c>
      <c r="H219" s="31" t="s">
        <v>240</v>
      </c>
    </row>
    <row r="220" spans="1:8" x14ac:dyDescent="0.3">
      <c r="A220" s="589" t="s">
        <v>23</v>
      </c>
      <c r="B220" s="589"/>
      <c r="C220" s="589"/>
      <c r="D220" s="119">
        <f t="shared" ref="D220:F220" si="12">SUM(D203:D219)</f>
        <v>39000000</v>
      </c>
      <c r="E220" s="117">
        <f t="shared" si="12"/>
        <v>0</v>
      </c>
      <c r="F220" s="119">
        <f t="shared" si="12"/>
        <v>12000000</v>
      </c>
      <c r="G220" s="119">
        <f>SUM(G203:G219)</f>
        <v>51000000</v>
      </c>
      <c r="H220" s="31"/>
    </row>
    <row r="232" spans="1:8" x14ac:dyDescent="0.3">
      <c r="A232" s="587" t="s">
        <v>213</v>
      </c>
      <c r="B232" s="587"/>
      <c r="C232" s="587"/>
      <c r="D232" s="587"/>
      <c r="E232" s="587"/>
      <c r="F232" s="587"/>
      <c r="G232" s="587"/>
      <c r="H232" s="587"/>
    </row>
    <row r="233" spans="1:8" x14ac:dyDescent="0.3">
      <c r="A233" s="587" t="s">
        <v>1159</v>
      </c>
      <c r="B233" s="587"/>
      <c r="C233" s="587"/>
      <c r="D233" s="587"/>
      <c r="E233" s="587"/>
      <c r="F233" s="587"/>
      <c r="G233" s="587"/>
      <c r="H233" s="587"/>
    </row>
    <row r="234" spans="1:8" x14ac:dyDescent="0.3">
      <c r="A234" s="587" t="s">
        <v>215</v>
      </c>
      <c r="B234" s="587"/>
      <c r="C234" s="587"/>
      <c r="D234" s="587"/>
      <c r="E234" s="587"/>
      <c r="F234" s="587"/>
      <c r="G234" s="587"/>
      <c r="H234" s="587"/>
    </row>
    <row r="235" spans="1:8" x14ac:dyDescent="0.3">
      <c r="A235" s="336"/>
      <c r="B235" s="336"/>
      <c r="C235" s="336"/>
      <c r="D235" s="336"/>
      <c r="E235" s="336"/>
      <c r="F235" s="336"/>
      <c r="G235" s="336"/>
    </row>
    <row r="236" spans="1:8" x14ac:dyDescent="0.3">
      <c r="A236" s="33" t="s">
        <v>1096</v>
      </c>
      <c r="B236" s="33"/>
      <c r="C236" s="33"/>
      <c r="D236" s="33"/>
      <c r="E236" s="33"/>
      <c r="F236" s="33"/>
      <c r="G236" s="34"/>
    </row>
    <row r="237" spans="1:8" x14ac:dyDescent="0.3">
      <c r="A237" s="34"/>
      <c r="B237" s="336"/>
      <c r="C237" s="34"/>
      <c r="D237" s="34"/>
      <c r="E237" s="34"/>
      <c r="F237" s="34"/>
      <c r="G237" s="34"/>
    </row>
    <row r="238" spans="1:8" x14ac:dyDescent="0.3">
      <c r="A238" s="337" t="s">
        <v>1092</v>
      </c>
      <c r="B238" s="337"/>
      <c r="C238" s="337"/>
      <c r="D238" s="34"/>
      <c r="E238" s="34"/>
      <c r="F238" s="34"/>
      <c r="G238" s="34"/>
    </row>
    <row r="239" spans="1:8" ht="24" x14ac:dyDescent="0.3">
      <c r="A239" s="142" t="s">
        <v>0</v>
      </c>
      <c r="B239" s="142" t="s">
        <v>20</v>
      </c>
      <c r="C239" s="142" t="s">
        <v>21</v>
      </c>
      <c r="D239" s="142" t="s">
        <v>214</v>
      </c>
      <c r="E239" s="142" t="s">
        <v>53</v>
      </c>
      <c r="F239" s="142" t="s">
        <v>22</v>
      </c>
      <c r="G239" s="142" t="s">
        <v>1160</v>
      </c>
      <c r="H239" s="142" t="s">
        <v>44</v>
      </c>
    </row>
    <row r="240" spans="1:8" x14ac:dyDescent="0.3">
      <c r="A240" s="31">
        <v>1</v>
      </c>
      <c r="B240" s="121">
        <v>22020102</v>
      </c>
      <c r="C240" s="122" t="s">
        <v>216</v>
      </c>
      <c r="D240" s="123">
        <v>210000000</v>
      </c>
      <c r="E240" s="32">
        <v>0</v>
      </c>
      <c r="F240" s="32">
        <v>0</v>
      </c>
      <c r="G240" s="32">
        <f t="shared" ref="G240:G259" si="13">D240-E240+F240</f>
        <v>210000000</v>
      </c>
      <c r="H240" s="31"/>
    </row>
    <row r="241" spans="1:8" x14ac:dyDescent="0.3">
      <c r="A241" s="31">
        <v>2</v>
      </c>
      <c r="B241" s="121">
        <v>22020103</v>
      </c>
      <c r="C241" s="122" t="s">
        <v>1093</v>
      </c>
      <c r="D241" s="123">
        <v>100000000</v>
      </c>
      <c r="E241" s="32">
        <v>0</v>
      </c>
      <c r="F241" s="32">
        <v>0</v>
      </c>
      <c r="G241" s="32">
        <f t="shared" si="13"/>
        <v>100000000</v>
      </c>
      <c r="H241" s="31"/>
    </row>
    <row r="242" spans="1:8" x14ac:dyDescent="0.3">
      <c r="A242" s="31">
        <v>3</v>
      </c>
      <c r="B242" s="121">
        <v>22020104</v>
      </c>
      <c r="C242" s="122" t="s">
        <v>260</v>
      </c>
      <c r="D242" s="123">
        <v>100000000</v>
      </c>
      <c r="E242" s="32">
        <v>0</v>
      </c>
      <c r="F242" s="32">
        <v>0</v>
      </c>
      <c r="G242" s="32">
        <f t="shared" si="13"/>
        <v>100000000</v>
      </c>
      <c r="H242" s="31"/>
    </row>
    <row r="243" spans="1:8" x14ac:dyDescent="0.3">
      <c r="A243" s="31">
        <v>4</v>
      </c>
      <c r="B243" s="121">
        <v>22020201</v>
      </c>
      <c r="C243" s="122" t="s">
        <v>217</v>
      </c>
      <c r="D243" s="123">
        <v>75000000</v>
      </c>
      <c r="E243" s="32">
        <v>0</v>
      </c>
      <c r="F243" s="32">
        <v>0</v>
      </c>
      <c r="G243" s="32">
        <f t="shared" si="13"/>
        <v>75000000</v>
      </c>
      <c r="H243" s="31"/>
    </row>
    <row r="244" spans="1:8" x14ac:dyDescent="0.3">
      <c r="A244" s="31">
        <v>5</v>
      </c>
      <c r="B244" s="121">
        <v>22020202</v>
      </c>
      <c r="C244" s="122" t="s">
        <v>218</v>
      </c>
      <c r="D244" s="123">
        <v>50000000</v>
      </c>
      <c r="E244" s="32">
        <v>0</v>
      </c>
      <c r="F244" s="32">
        <v>0</v>
      </c>
      <c r="G244" s="32">
        <f t="shared" si="13"/>
        <v>50000000</v>
      </c>
      <c r="H244" s="31"/>
    </row>
    <row r="245" spans="1:8" x14ac:dyDescent="0.3">
      <c r="A245" s="31">
        <v>6</v>
      </c>
      <c r="B245" s="121">
        <v>22020209</v>
      </c>
      <c r="C245" s="122" t="s">
        <v>261</v>
      </c>
      <c r="D245" s="123">
        <v>20000000</v>
      </c>
      <c r="E245" s="32">
        <v>0</v>
      </c>
      <c r="F245" s="32">
        <v>0</v>
      </c>
      <c r="G245" s="32">
        <f t="shared" si="13"/>
        <v>20000000</v>
      </c>
      <c r="H245" s="31"/>
    </row>
    <row r="246" spans="1:8" x14ac:dyDescent="0.3">
      <c r="A246" s="31">
        <v>7</v>
      </c>
      <c r="B246" s="121">
        <v>22020301</v>
      </c>
      <c r="C246" s="122" t="s">
        <v>220</v>
      </c>
      <c r="D246" s="123">
        <v>100000000</v>
      </c>
      <c r="E246" s="32">
        <v>0</v>
      </c>
      <c r="F246" s="32">
        <v>0</v>
      </c>
      <c r="G246" s="32">
        <f t="shared" si="13"/>
        <v>100000000</v>
      </c>
      <c r="H246" s="31"/>
    </row>
    <row r="247" spans="1:8" x14ac:dyDescent="0.3">
      <c r="A247" s="31">
        <v>8</v>
      </c>
      <c r="B247" s="121">
        <v>22020302</v>
      </c>
      <c r="C247" s="122" t="s">
        <v>780</v>
      </c>
      <c r="D247" s="123">
        <v>5000000</v>
      </c>
      <c r="E247" s="32">
        <v>0</v>
      </c>
      <c r="F247" s="32">
        <v>0</v>
      </c>
      <c r="G247" s="32">
        <f t="shared" si="13"/>
        <v>5000000</v>
      </c>
      <c r="H247" s="31"/>
    </row>
    <row r="248" spans="1:8" x14ac:dyDescent="0.3">
      <c r="A248" s="31">
        <v>9</v>
      </c>
      <c r="B248" s="121">
        <v>22020305</v>
      </c>
      <c r="C248" s="122" t="s">
        <v>233</v>
      </c>
      <c r="D248" s="123">
        <v>150000000</v>
      </c>
      <c r="E248" s="32">
        <v>0</v>
      </c>
      <c r="F248" s="32">
        <v>60000000</v>
      </c>
      <c r="G248" s="32">
        <f t="shared" si="13"/>
        <v>210000000</v>
      </c>
      <c r="H248" s="31"/>
    </row>
    <row r="249" spans="1:8" x14ac:dyDescent="0.3">
      <c r="A249" s="31">
        <v>10</v>
      </c>
      <c r="B249" s="121">
        <v>22020307</v>
      </c>
      <c r="C249" s="122" t="s">
        <v>308</v>
      </c>
      <c r="D249" s="123">
        <v>5000000</v>
      </c>
      <c r="E249" s="32">
        <v>0</v>
      </c>
      <c r="F249" s="32">
        <v>0</v>
      </c>
      <c r="G249" s="32">
        <f t="shared" si="13"/>
        <v>5000000</v>
      </c>
      <c r="H249" s="31"/>
    </row>
    <row r="250" spans="1:8" x14ac:dyDescent="0.3">
      <c r="A250" s="31">
        <v>11</v>
      </c>
      <c r="B250" s="121">
        <v>22020309</v>
      </c>
      <c r="C250" s="122" t="s">
        <v>1058</v>
      </c>
      <c r="D250" s="123">
        <v>70000000</v>
      </c>
      <c r="E250" s="32">
        <v>0</v>
      </c>
      <c r="F250" s="32">
        <v>0</v>
      </c>
      <c r="G250" s="32">
        <f t="shared" si="13"/>
        <v>70000000</v>
      </c>
      <c r="H250" s="31"/>
    </row>
    <row r="251" spans="1:8" ht="20.399999999999999" x14ac:dyDescent="0.3">
      <c r="A251" s="31">
        <v>12</v>
      </c>
      <c r="B251" s="121">
        <v>22020315</v>
      </c>
      <c r="C251" s="122" t="s">
        <v>312</v>
      </c>
      <c r="D251" s="123">
        <v>50000000</v>
      </c>
      <c r="E251" s="32">
        <v>0</v>
      </c>
      <c r="F251" s="32">
        <v>0</v>
      </c>
      <c r="G251" s="32">
        <f t="shared" si="13"/>
        <v>50000000</v>
      </c>
      <c r="H251" s="31"/>
    </row>
    <row r="252" spans="1:8" ht="20.399999999999999" x14ac:dyDescent="0.3">
      <c r="A252" s="31">
        <v>13</v>
      </c>
      <c r="B252" s="121">
        <v>22020401</v>
      </c>
      <c r="C252" s="122" t="s">
        <v>222</v>
      </c>
      <c r="D252" s="123">
        <v>120000000</v>
      </c>
      <c r="E252" s="32">
        <v>0</v>
      </c>
      <c r="F252" s="32">
        <v>0</v>
      </c>
      <c r="G252" s="32">
        <f t="shared" si="13"/>
        <v>120000000</v>
      </c>
      <c r="H252" s="31"/>
    </row>
    <row r="253" spans="1:8" x14ac:dyDescent="0.3">
      <c r="A253" s="31">
        <v>14</v>
      </c>
      <c r="B253" s="121">
        <v>22020402</v>
      </c>
      <c r="C253" s="122" t="s">
        <v>223</v>
      </c>
      <c r="D253" s="123">
        <v>40000000</v>
      </c>
      <c r="E253" s="32">
        <v>0</v>
      </c>
      <c r="F253" s="32">
        <v>0</v>
      </c>
      <c r="G253" s="32">
        <f t="shared" si="13"/>
        <v>40000000</v>
      </c>
      <c r="H253" s="31"/>
    </row>
    <row r="254" spans="1:8" x14ac:dyDescent="0.3">
      <c r="A254" s="31">
        <v>15</v>
      </c>
      <c r="B254" s="121">
        <v>22020405</v>
      </c>
      <c r="C254" s="122" t="s">
        <v>248</v>
      </c>
      <c r="D254" s="123">
        <v>20000000</v>
      </c>
      <c r="E254" s="32">
        <v>0</v>
      </c>
      <c r="F254" s="32">
        <v>0</v>
      </c>
      <c r="G254" s="32">
        <f t="shared" si="13"/>
        <v>20000000</v>
      </c>
      <c r="H254" s="31"/>
    </row>
    <row r="255" spans="1:8" x14ac:dyDescent="0.3">
      <c r="A255" s="31">
        <v>16</v>
      </c>
      <c r="B255" s="121">
        <v>22020406</v>
      </c>
      <c r="C255" s="122" t="s">
        <v>224</v>
      </c>
      <c r="D255" s="123">
        <v>98300000</v>
      </c>
      <c r="E255" s="32">
        <v>0</v>
      </c>
      <c r="F255" s="32">
        <v>0</v>
      </c>
      <c r="G255" s="32">
        <f t="shared" si="13"/>
        <v>98300000</v>
      </c>
      <c r="H255" s="31"/>
    </row>
    <row r="256" spans="1:8" x14ac:dyDescent="0.3">
      <c r="A256" s="31">
        <v>17</v>
      </c>
      <c r="B256" s="121">
        <v>22020411</v>
      </c>
      <c r="C256" s="122" t="s">
        <v>1094</v>
      </c>
      <c r="D256" s="123">
        <v>5000000</v>
      </c>
      <c r="E256" s="32">
        <v>0</v>
      </c>
      <c r="F256" s="32">
        <v>0</v>
      </c>
      <c r="G256" s="32">
        <f t="shared" si="13"/>
        <v>5000000</v>
      </c>
      <c r="H256" s="31"/>
    </row>
    <row r="257" spans="1:8" x14ac:dyDescent="0.3">
      <c r="A257" s="31">
        <v>18</v>
      </c>
      <c r="B257" s="121">
        <v>22020415</v>
      </c>
      <c r="C257" s="122" t="s">
        <v>262</v>
      </c>
      <c r="D257" s="123">
        <v>20000000</v>
      </c>
      <c r="E257" s="32">
        <v>0</v>
      </c>
      <c r="F257" s="32">
        <v>0</v>
      </c>
      <c r="G257" s="32">
        <f t="shared" si="13"/>
        <v>20000000</v>
      </c>
      <c r="H257" s="31"/>
    </row>
    <row r="258" spans="1:8" x14ac:dyDescent="0.3">
      <c r="A258" s="31">
        <v>19</v>
      </c>
      <c r="B258" s="121">
        <v>22020501</v>
      </c>
      <c r="C258" s="122" t="s">
        <v>225</v>
      </c>
      <c r="D258" s="123">
        <v>110000000</v>
      </c>
      <c r="E258" s="32">
        <v>0</v>
      </c>
      <c r="F258" s="32">
        <v>0</v>
      </c>
      <c r="G258" s="32">
        <f t="shared" si="13"/>
        <v>110000000</v>
      </c>
      <c r="H258" s="31"/>
    </row>
    <row r="259" spans="1:8" x14ac:dyDescent="0.3">
      <c r="A259" s="31">
        <v>20</v>
      </c>
      <c r="B259" s="121">
        <v>22020502</v>
      </c>
      <c r="C259" s="122" t="s">
        <v>269</v>
      </c>
      <c r="D259" s="123">
        <v>100000000</v>
      </c>
      <c r="E259" s="32">
        <v>0</v>
      </c>
      <c r="F259" s="32">
        <v>0</v>
      </c>
      <c r="G259" s="32">
        <f t="shared" si="13"/>
        <v>100000000</v>
      </c>
      <c r="H259" s="31"/>
    </row>
    <row r="260" spans="1:8" ht="26.25" customHeight="1" x14ac:dyDescent="0.3">
      <c r="A260" s="142" t="s">
        <v>0</v>
      </c>
      <c r="B260" s="142" t="s">
        <v>20</v>
      </c>
      <c r="C260" s="142" t="s">
        <v>21</v>
      </c>
      <c r="D260" s="142" t="s">
        <v>214</v>
      </c>
      <c r="E260" s="142" t="s">
        <v>53</v>
      </c>
      <c r="F260" s="142" t="s">
        <v>22</v>
      </c>
      <c r="G260" s="142" t="s">
        <v>1160</v>
      </c>
      <c r="H260" s="142" t="s">
        <v>44</v>
      </c>
    </row>
    <row r="261" spans="1:8" x14ac:dyDescent="0.3">
      <c r="A261" s="31">
        <v>21</v>
      </c>
      <c r="B261" s="121">
        <v>22020503</v>
      </c>
      <c r="C261" s="122" t="s">
        <v>236</v>
      </c>
      <c r="D261" s="123">
        <v>150000000</v>
      </c>
      <c r="E261" s="32">
        <v>0</v>
      </c>
      <c r="F261" s="32">
        <v>70000000</v>
      </c>
      <c r="G261" s="32">
        <f t="shared" ref="G261:G277" si="14">D261-E261+F261</f>
        <v>220000000</v>
      </c>
      <c r="H261" s="31"/>
    </row>
    <row r="262" spans="1:8" x14ac:dyDescent="0.3">
      <c r="A262" s="31">
        <v>22</v>
      </c>
      <c r="B262" s="121">
        <v>22020601</v>
      </c>
      <c r="C262" s="122" t="s">
        <v>226</v>
      </c>
      <c r="D262" s="123">
        <v>50000000</v>
      </c>
      <c r="E262" s="32">
        <v>0</v>
      </c>
      <c r="F262" s="32">
        <v>0</v>
      </c>
      <c r="G262" s="32">
        <f t="shared" si="14"/>
        <v>50000000</v>
      </c>
      <c r="H262" s="31"/>
    </row>
    <row r="263" spans="1:8" x14ac:dyDescent="0.3">
      <c r="A263" s="31">
        <v>23</v>
      </c>
      <c r="B263" s="121">
        <v>22020605</v>
      </c>
      <c r="C263" s="122" t="s">
        <v>238</v>
      </c>
      <c r="D263" s="123">
        <v>10000000</v>
      </c>
      <c r="E263" s="32">
        <v>0</v>
      </c>
      <c r="F263" s="32">
        <v>0</v>
      </c>
      <c r="G263" s="32">
        <f t="shared" si="14"/>
        <v>10000000</v>
      </c>
      <c r="H263" s="31"/>
    </row>
    <row r="264" spans="1:8" x14ac:dyDescent="0.3">
      <c r="A264" s="31">
        <v>24</v>
      </c>
      <c r="B264" s="121">
        <v>22020712</v>
      </c>
      <c r="C264" s="122" t="s">
        <v>242</v>
      </c>
      <c r="D264" s="123">
        <v>50000000</v>
      </c>
      <c r="E264" s="32">
        <v>0</v>
      </c>
      <c r="F264" s="32">
        <v>0</v>
      </c>
      <c r="G264" s="32">
        <f t="shared" si="14"/>
        <v>50000000</v>
      </c>
      <c r="H264" s="31"/>
    </row>
    <row r="265" spans="1:8" x14ac:dyDescent="0.3">
      <c r="A265" s="31">
        <v>25</v>
      </c>
      <c r="B265" s="121">
        <v>22020801</v>
      </c>
      <c r="C265" s="122" t="s">
        <v>228</v>
      </c>
      <c r="D265" s="123">
        <v>25000000</v>
      </c>
      <c r="E265" s="32">
        <v>0</v>
      </c>
      <c r="F265" s="32">
        <v>0</v>
      </c>
      <c r="G265" s="32">
        <f t="shared" si="14"/>
        <v>25000000</v>
      </c>
      <c r="H265" s="31"/>
    </row>
    <row r="266" spans="1:8" x14ac:dyDescent="0.3">
      <c r="A266" s="31">
        <v>26</v>
      </c>
      <c r="B266" s="121">
        <v>22020902</v>
      </c>
      <c r="C266" s="122" t="s">
        <v>265</v>
      </c>
      <c r="D266" s="123">
        <v>30000000</v>
      </c>
      <c r="E266" s="32">
        <v>0</v>
      </c>
      <c r="F266" s="32">
        <v>0</v>
      </c>
      <c r="G266" s="32">
        <f t="shared" si="14"/>
        <v>30000000</v>
      </c>
      <c r="H266" s="31"/>
    </row>
    <row r="267" spans="1:8" x14ac:dyDescent="0.3">
      <c r="A267" s="31">
        <v>27</v>
      </c>
      <c r="B267" s="121">
        <v>22021001</v>
      </c>
      <c r="C267" s="122" t="s">
        <v>229</v>
      </c>
      <c r="D267" s="123">
        <v>35000000</v>
      </c>
      <c r="E267" s="32">
        <v>0</v>
      </c>
      <c r="F267" s="32">
        <v>0</v>
      </c>
      <c r="G267" s="32">
        <f t="shared" si="14"/>
        <v>35000000</v>
      </c>
      <c r="H267" s="31"/>
    </row>
    <row r="268" spans="1:8" x14ac:dyDescent="0.3">
      <c r="A268" s="31">
        <v>28</v>
      </c>
      <c r="B268" s="121">
        <v>22021002</v>
      </c>
      <c r="C268" s="122" t="s">
        <v>243</v>
      </c>
      <c r="D268" s="123">
        <v>0</v>
      </c>
      <c r="E268" s="32">
        <v>0</v>
      </c>
      <c r="F268" s="32">
        <v>0</v>
      </c>
      <c r="G268" s="32">
        <f t="shared" si="14"/>
        <v>0</v>
      </c>
      <c r="H268" s="31"/>
    </row>
    <row r="269" spans="1:8" x14ac:dyDescent="0.3">
      <c r="A269" s="31">
        <v>29</v>
      </c>
      <c r="B269" s="121">
        <v>22021003</v>
      </c>
      <c r="C269" s="122" t="s">
        <v>259</v>
      </c>
      <c r="D269" s="123">
        <v>150000000</v>
      </c>
      <c r="E269" s="32">
        <v>0</v>
      </c>
      <c r="F269" s="32">
        <v>0</v>
      </c>
      <c r="G269" s="32">
        <f t="shared" si="14"/>
        <v>150000000</v>
      </c>
      <c r="H269" s="31"/>
    </row>
    <row r="270" spans="1:8" x14ac:dyDescent="0.3">
      <c r="A270" s="31">
        <v>30</v>
      </c>
      <c r="B270" s="121">
        <v>22021004</v>
      </c>
      <c r="C270" s="122" t="s">
        <v>1059</v>
      </c>
      <c r="D270" s="123">
        <v>50000000</v>
      </c>
      <c r="E270" s="32">
        <v>0</v>
      </c>
      <c r="F270" s="32">
        <v>0</v>
      </c>
      <c r="G270" s="32">
        <f t="shared" si="14"/>
        <v>50000000</v>
      </c>
      <c r="H270" s="31"/>
    </row>
    <row r="271" spans="1:8" x14ac:dyDescent="0.3">
      <c r="A271" s="31">
        <v>31</v>
      </c>
      <c r="B271" s="121">
        <v>22021007</v>
      </c>
      <c r="C271" s="122" t="s">
        <v>230</v>
      </c>
      <c r="D271" s="123">
        <v>150000000</v>
      </c>
      <c r="E271" s="32">
        <v>0</v>
      </c>
      <c r="F271" s="32">
        <v>0</v>
      </c>
      <c r="G271" s="32">
        <f t="shared" si="14"/>
        <v>150000000</v>
      </c>
      <c r="H271" s="31"/>
    </row>
    <row r="272" spans="1:8" x14ac:dyDescent="0.3">
      <c r="A272" s="31">
        <v>32</v>
      </c>
      <c r="B272" s="121">
        <v>22021009</v>
      </c>
      <c r="C272" s="122" t="s">
        <v>268</v>
      </c>
      <c r="D272" s="123">
        <v>5000000</v>
      </c>
      <c r="E272" s="32">
        <v>0</v>
      </c>
      <c r="F272" s="32">
        <v>0</v>
      </c>
      <c r="G272" s="32">
        <f t="shared" si="14"/>
        <v>5000000</v>
      </c>
      <c r="H272" s="31"/>
    </row>
    <row r="273" spans="1:8" x14ac:dyDescent="0.3">
      <c r="A273" s="31">
        <v>33</v>
      </c>
      <c r="B273" s="121">
        <v>22021011</v>
      </c>
      <c r="C273" s="122" t="s">
        <v>1095</v>
      </c>
      <c r="D273" s="123">
        <v>0</v>
      </c>
      <c r="E273" s="32">
        <v>0</v>
      </c>
      <c r="F273" s="32">
        <v>0</v>
      </c>
      <c r="G273" s="32">
        <f t="shared" si="14"/>
        <v>0</v>
      </c>
      <c r="H273" s="31"/>
    </row>
    <row r="274" spans="1:8" x14ac:dyDescent="0.3">
      <c r="A274" s="31">
        <v>34</v>
      </c>
      <c r="B274" s="121">
        <v>22021014</v>
      </c>
      <c r="C274" s="122" t="s">
        <v>526</v>
      </c>
      <c r="D274" s="123">
        <v>35000000</v>
      </c>
      <c r="E274" s="32">
        <v>0</v>
      </c>
      <c r="F274" s="32">
        <v>0</v>
      </c>
      <c r="G274" s="32">
        <f t="shared" si="14"/>
        <v>35000000</v>
      </c>
      <c r="H274" s="31"/>
    </row>
    <row r="275" spans="1:8" x14ac:dyDescent="0.3">
      <c r="A275" s="31">
        <v>35</v>
      </c>
      <c r="B275" s="121">
        <v>22021049</v>
      </c>
      <c r="C275" s="122" t="s">
        <v>781</v>
      </c>
      <c r="D275" s="123">
        <v>10000000</v>
      </c>
      <c r="E275" s="32">
        <v>0</v>
      </c>
      <c r="F275" s="32">
        <v>0</v>
      </c>
      <c r="G275" s="32">
        <f t="shared" si="14"/>
        <v>10000000</v>
      </c>
      <c r="H275" s="31"/>
    </row>
    <row r="276" spans="1:8" x14ac:dyDescent="0.3">
      <c r="A276" s="31">
        <v>36</v>
      </c>
      <c r="B276" s="121">
        <v>22021053</v>
      </c>
      <c r="C276" s="122" t="s">
        <v>289</v>
      </c>
      <c r="D276" s="123">
        <v>50000000</v>
      </c>
      <c r="E276" s="32">
        <v>0</v>
      </c>
      <c r="F276" s="32">
        <v>0</v>
      </c>
      <c r="G276" s="32">
        <f t="shared" si="14"/>
        <v>50000000</v>
      </c>
      <c r="H276" s="31"/>
    </row>
    <row r="277" spans="1:8" x14ac:dyDescent="0.3">
      <c r="A277" s="31">
        <v>37</v>
      </c>
      <c r="B277" s="121">
        <v>22021058</v>
      </c>
      <c r="C277" s="122" t="s">
        <v>314</v>
      </c>
      <c r="D277" s="123">
        <v>25000000</v>
      </c>
      <c r="E277" s="32">
        <v>0</v>
      </c>
      <c r="F277" s="32">
        <v>0</v>
      </c>
      <c r="G277" s="32">
        <f t="shared" si="14"/>
        <v>25000000</v>
      </c>
      <c r="H277" s="31"/>
    </row>
    <row r="278" spans="1:8" x14ac:dyDescent="0.3">
      <c r="A278" s="589" t="s">
        <v>23</v>
      </c>
      <c r="B278" s="589"/>
      <c r="C278" s="589"/>
      <c r="D278" s="119">
        <f>SUM(D240:D277)</f>
        <v>2273300000</v>
      </c>
      <c r="E278" s="117">
        <f t="shared" ref="E278:G278" si="15">SUM(E240:E277)</f>
        <v>0</v>
      </c>
      <c r="F278" s="117">
        <f t="shared" si="15"/>
        <v>130000000</v>
      </c>
      <c r="G278" s="119">
        <f t="shared" si="15"/>
        <v>2403300000</v>
      </c>
      <c r="H278" s="31"/>
    </row>
    <row r="293" spans="1:8" x14ac:dyDescent="0.3">
      <c r="A293" s="587" t="s">
        <v>213</v>
      </c>
      <c r="B293" s="587"/>
      <c r="C293" s="587"/>
      <c r="D293" s="587"/>
      <c r="E293" s="587"/>
      <c r="F293" s="587"/>
      <c r="G293" s="587"/>
      <c r="H293" s="587"/>
    </row>
    <row r="294" spans="1:8" x14ac:dyDescent="0.3">
      <c r="A294" s="587" t="s">
        <v>1159</v>
      </c>
      <c r="B294" s="587"/>
      <c r="C294" s="587"/>
      <c r="D294" s="587"/>
      <c r="E294" s="587"/>
      <c r="F294" s="587"/>
      <c r="G294" s="587"/>
      <c r="H294" s="587"/>
    </row>
    <row r="295" spans="1:8" x14ac:dyDescent="0.3">
      <c r="A295" s="587" t="s">
        <v>215</v>
      </c>
      <c r="B295" s="587"/>
      <c r="C295" s="587"/>
      <c r="D295" s="587"/>
      <c r="E295" s="587"/>
      <c r="F295" s="587"/>
      <c r="G295" s="587"/>
      <c r="H295" s="587"/>
    </row>
    <row r="296" spans="1:8" x14ac:dyDescent="0.3">
      <c r="A296" s="336"/>
      <c r="B296" s="336"/>
      <c r="C296" s="336"/>
      <c r="D296" s="336"/>
      <c r="E296" s="336"/>
      <c r="F296" s="336"/>
      <c r="G296" s="336"/>
    </row>
    <row r="297" spans="1:8" x14ac:dyDescent="0.3">
      <c r="A297" s="33" t="s">
        <v>636</v>
      </c>
      <c r="B297" s="33"/>
      <c r="C297" s="33"/>
      <c r="D297" s="33"/>
      <c r="E297" s="33"/>
      <c r="F297" s="33"/>
      <c r="G297" s="34"/>
    </row>
    <row r="298" spans="1:8" x14ac:dyDescent="0.3">
      <c r="A298" s="34"/>
      <c r="B298" s="336"/>
      <c r="C298" s="34"/>
      <c r="D298" s="34"/>
      <c r="E298" s="34"/>
      <c r="F298" s="34"/>
      <c r="G298" s="34"/>
    </row>
    <row r="299" spans="1:8" x14ac:dyDescent="0.3">
      <c r="A299" s="337" t="s">
        <v>637</v>
      </c>
      <c r="B299" s="337"/>
      <c r="C299" s="337"/>
      <c r="D299" s="34"/>
      <c r="E299" s="34"/>
      <c r="F299" s="34"/>
      <c r="G299" s="34"/>
    </row>
    <row r="300" spans="1:8" ht="24" x14ac:dyDescent="0.3">
      <c r="A300" s="142" t="s">
        <v>0</v>
      </c>
      <c r="B300" s="142" t="s">
        <v>20</v>
      </c>
      <c r="C300" s="142" t="s">
        <v>21</v>
      </c>
      <c r="D300" s="142" t="s">
        <v>214</v>
      </c>
      <c r="E300" s="142" t="s">
        <v>53</v>
      </c>
      <c r="F300" s="142" t="s">
        <v>22</v>
      </c>
      <c r="G300" s="142" t="s">
        <v>1160</v>
      </c>
      <c r="H300" s="142" t="s">
        <v>44</v>
      </c>
    </row>
    <row r="301" spans="1:8" x14ac:dyDescent="0.3">
      <c r="A301" s="31">
        <v>1</v>
      </c>
      <c r="B301" s="121">
        <v>22020102</v>
      </c>
      <c r="C301" s="122" t="s">
        <v>216</v>
      </c>
      <c r="D301" s="123">
        <v>1750000</v>
      </c>
      <c r="E301" s="148">
        <v>0</v>
      </c>
      <c r="F301" s="148">
        <v>0</v>
      </c>
      <c r="G301" s="32">
        <f t="shared" ref="G301:G312" si="16">D301-E301+F301</f>
        <v>1750000</v>
      </c>
      <c r="H301" s="338"/>
    </row>
    <row r="302" spans="1:8" x14ac:dyDescent="0.3">
      <c r="A302" s="31">
        <v>2</v>
      </c>
      <c r="B302" s="121">
        <v>22020301</v>
      </c>
      <c r="C302" s="122" t="s">
        <v>220</v>
      </c>
      <c r="D302" s="123">
        <v>1000000</v>
      </c>
      <c r="E302" s="148">
        <v>0</v>
      </c>
      <c r="F302" s="148">
        <v>0</v>
      </c>
      <c r="G302" s="32">
        <f t="shared" si="16"/>
        <v>1000000</v>
      </c>
      <c r="H302" s="338"/>
    </row>
    <row r="303" spans="1:8" ht="20.399999999999999" x14ac:dyDescent="0.3">
      <c r="A303" s="31">
        <v>3</v>
      </c>
      <c r="B303" s="121">
        <v>22020403</v>
      </c>
      <c r="C303" s="122" t="s">
        <v>247</v>
      </c>
      <c r="D303" s="123">
        <v>350000</v>
      </c>
      <c r="E303" s="148">
        <v>0</v>
      </c>
      <c r="F303" s="148">
        <v>0</v>
      </c>
      <c r="G303" s="32">
        <f t="shared" si="16"/>
        <v>350000</v>
      </c>
      <c r="H303" s="338"/>
    </row>
    <row r="304" spans="1:8" x14ac:dyDescent="0.3">
      <c r="A304" s="31">
        <v>4</v>
      </c>
      <c r="B304" s="121">
        <v>22020404</v>
      </c>
      <c r="C304" s="122" t="s">
        <v>235</v>
      </c>
      <c r="D304" s="123">
        <v>700000</v>
      </c>
      <c r="E304" s="148">
        <v>0</v>
      </c>
      <c r="F304" s="148">
        <v>0</v>
      </c>
      <c r="G304" s="32">
        <f t="shared" si="16"/>
        <v>700000</v>
      </c>
      <c r="H304" s="338"/>
    </row>
    <row r="305" spans="1:8" x14ac:dyDescent="0.3">
      <c r="A305" s="31">
        <v>5</v>
      </c>
      <c r="B305" s="121">
        <v>22020405</v>
      </c>
      <c r="C305" s="122" t="s">
        <v>248</v>
      </c>
      <c r="D305" s="123">
        <v>1000000</v>
      </c>
      <c r="E305" s="148">
        <v>0</v>
      </c>
      <c r="F305" s="148">
        <v>0</v>
      </c>
      <c r="G305" s="32">
        <f t="shared" si="16"/>
        <v>1000000</v>
      </c>
      <c r="H305" s="338"/>
    </row>
    <row r="306" spans="1:8" x14ac:dyDescent="0.3">
      <c r="A306" s="31">
        <v>6</v>
      </c>
      <c r="B306" s="121">
        <v>22020503</v>
      </c>
      <c r="C306" s="122" t="s">
        <v>236</v>
      </c>
      <c r="D306" s="123">
        <v>300000</v>
      </c>
      <c r="E306" s="148">
        <v>0</v>
      </c>
      <c r="F306" s="148">
        <v>0</v>
      </c>
      <c r="G306" s="32">
        <f t="shared" si="16"/>
        <v>300000</v>
      </c>
      <c r="H306" s="338"/>
    </row>
    <row r="307" spans="1:8" x14ac:dyDescent="0.3">
      <c r="A307" s="31">
        <v>7</v>
      </c>
      <c r="B307" s="121">
        <v>22020605</v>
      </c>
      <c r="C307" s="122" t="s">
        <v>238</v>
      </c>
      <c r="D307" s="123">
        <v>250000</v>
      </c>
      <c r="E307" s="148">
        <v>0</v>
      </c>
      <c r="F307" s="148">
        <v>0</v>
      </c>
      <c r="G307" s="32">
        <f t="shared" si="16"/>
        <v>250000</v>
      </c>
      <c r="H307" s="338"/>
    </row>
    <row r="308" spans="1:8" x14ac:dyDescent="0.3">
      <c r="A308" s="31">
        <v>8</v>
      </c>
      <c r="B308" s="121">
        <v>22020712</v>
      </c>
      <c r="C308" s="122" t="s">
        <v>242</v>
      </c>
      <c r="D308" s="123">
        <v>600000</v>
      </c>
      <c r="E308" s="148">
        <v>0</v>
      </c>
      <c r="F308" s="148">
        <v>0</v>
      </c>
      <c r="G308" s="32">
        <f t="shared" si="16"/>
        <v>600000</v>
      </c>
      <c r="H308" s="338"/>
    </row>
    <row r="309" spans="1:8" x14ac:dyDescent="0.3">
      <c r="A309" s="31">
        <v>9</v>
      </c>
      <c r="B309" s="121">
        <v>22020801</v>
      </c>
      <c r="C309" s="122" t="s">
        <v>228</v>
      </c>
      <c r="D309" s="123">
        <v>800000</v>
      </c>
      <c r="E309" s="148">
        <v>0</v>
      </c>
      <c r="F309" s="148">
        <v>0</v>
      </c>
      <c r="G309" s="32">
        <f t="shared" si="16"/>
        <v>800000</v>
      </c>
      <c r="H309" s="338"/>
    </row>
    <row r="310" spans="1:8" x14ac:dyDescent="0.3">
      <c r="A310" s="31">
        <v>10</v>
      </c>
      <c r="B310" s="121">
        <v>22020803</v>
      </c>
      <c r="C310" s="122" t="s">
        <v>250</v>
      </c>
      <c r="D310" s="123">
        <v>27448000</v>
      </c>
      <c r="E310" s="148">
        <v>0</v>
      </c>
      <c r="F310" s="32">
        <v>22000000</v>
      </c>
      <c r="G310" s="32">
        <f t="shared" si="16"/>
        <v>49448000</v>
      </c>
      <c r="H310" s="32" t="s">
        <v>240</v>
      </c>
    </row>
    <row r="311" spans="1:8" x14ac:dyDescent="0.3">
      <c r="A311" s="31">
        <v>11</v>
      </c>
      <c r="B311" s="121">
        <v>22021002</v>
      </c>
      <c r="C311" s="122" t="s">
        <v>243</v>
      </c>
      <c r="D311" s="123">
        <v>450000</v>
      </c>
      <c r="E311" s="148">
        <v>0</v>
      </c>
      <c r="F311" s="148">
        <v>0</v>
      </c>
      <c r="G311" s="32">
        <f t="shared" si="16"/>
        <v>450000</v>
      </c>
      <c r="H311" s="338"/>
    </row>
    <row r="312" spans="1:8" x14ac:dyDescent="0.3">
      <c r="A312" s="31">
        <v>12</v>
      </c>
      <c r="B312" s="121">
        <v>22021008</v>
      </c>
      <c r="C312" s="122" t="s">
        <v>249</v>
      </c>
      <c r="D312" s="123">
        <v>12000000</v>
      </c>
      <c r="E312" s="148">
        <v>0</v>
      </c>
      <c r="F312" s="148">
        <v>0</v>
      </c>
      <c r="G312" s="32">
        <f t="shared" si="16"/>
        <v>12000000</v>
      </c>
      <c r="H312" s="338"/>
    </row>
    <row r="313" spans="1:8" x14ac:dyDescent="0.3">
      <c r="A313" s="588" t="s">
        <v>23</v>
      </c>
      <c r="B313" s="588"/>
      <c r="C313" s="588"/>
      <c r="D313" s="119">
        <f t="shared" ref="D313" si="17">SUM(D299:D312)</f>
        <v>46648000</v>
      </c>
      <c r="E313" s="117">
        <f t="shared" ref="E313" si="18">SUM(E299:E312)</f>
        <v>0</v>
      </c>
      <c r="F313" s="119">
        <f t="shared" ref="F313" si="19">SUM(F299:F312)</f>
        <v>22000000</v>
      </c>
      <c r="G313" s="119">
        <f>SUM(G299:G312)</f>
        <v>68648000</v>
      </c>
      <c r="H313" s="338"/>
    </row>
    <row r="325" spans="1:8" x14ac:dyDescent="0.3">
      <c r="A325" s="587" t="s">
        <v>213</v>
      </c>
      <c r="B325" s="587"/>
      <c r="C325" s="587"/>
      <c r="D325" s="587"/>
      <c r="E325" s="587"/>
      <c r="F325" s="587"/>
      <c r="G325" s="587"/>
      <c r="H325" s="587"/>
    </row>
    <row r="326" spans="1:8" x14ac:dyDescent="0.3">
      <c r="A326" s="587" t="s">
        <v>1159</v>
      </c>
      <c r="B326" s="587"/>
      <c r="C326" s="587"/>
      <c r="D326" s="587"/>
      <c r="E326" s="587"/>
      <c r="F326" s="587"/>
      <c r="G326" s="587"/>
      <c r="H326" s="587"/>
    </row>
    <row r="327" spans="1:8" x14ac:dyDescent="0.3">
      <c r="A327" s="587" t="s">
        <v>215</v>
      </c>
      <c r="B327" s="587"/>
      <c r="C327" s="587"/>
      <c r="D327" s="587"/>
      <c r="E327" s="587"/>
      <c r="F327" s="587"/>
      <c r="G327" s="587"/>
      <c r="H327" s="587"/>
    </row>
    <row r="328" spans="1:8" x14ac:dyDescent="0.3">
      <c r="A328" s="336"/>
      <c r="B328" s="336"/>
      <c r="C328" s="336"/>
      <c r="D328" s="336"/>
      <c r="E328" s="336"/>
      <c r="F328" s="336"/>
      <c r="G328" s="336"/>
    </row>
    <row r="329" spans="1:8" x14ac:dyDescent="0.3">
      <c r="A329" s="33" t="s">
        <v>638</v>
      </c>
      <c r="B329" s="33"/>
      <c r="C329" s="33"/>
      <c r="D329" s="33"/>
      <c r="E329" s="33"/>
      <c r="F329" s="33"/>
      <c r="G329" s="34"/>
    </row>
    <row r="330" spans="1:8" x14ac:dyDescent="0.3">
      <c r="A330" s="34"/>
      <c r="B330" s="336"/>
      <c r="C330" s="34"/>
      <c r="D330" s="34"/>
      <c r="E330" s="34"/>
      <c r="F330" s="34"/>
      <c r="G330" s="34"/>
    </row>
    <row r="331" spans="1:8" x14ac:dyDescent="0.3">
      <c r="A331" s="337" t="s">
        <v>639</v>
      </c>
      <c r="B331" s="337"/>
      <c r="C331" s="337"/>
      <c r="D331" s="34"/>
      <c r="E331" s="34"/>
      <c r="F331" s="34"/>
      <c r="G331" s="34"/>
    </row>
    <row r="332" spans="1:8" ht="24" x14ac:dyDescent="0.3">
      <c r="A332" s="142" t="s">
        <v>0</v>
      </c>
      <c r="B332" s="142" t="s">
        <v>20</v>
      </c>
      <c r="C332" s="142" t="s">
        <v>21</v>
      </c>
      <c r="D332" s="142" t="s">
        <v>214</v>
      </c>
      <c r="E332" s="142" t="s">
        <v>53</v>
      </c>
      <c r="F332" s="142" t="s">
        <v>22</v>
      </c>
      <c r="G332" s="142" t="s">
        <v>1160</v>
      </c>
      <c r="H332" s="142" t="s">
        <v>44</v>
      </c>
    </row>
    <row r="333" spans="1:8" ht="20.399999999999999" x14ac:dyDescent="0.3">
      <c r="A333" s="146">
        <v>1</v>
      </c>
      <c r="B333" s="121">
        <v>22040105</v>
      </c>
      <c r="C333" s="122" t="s">
        <v>278</v>
      </c>
      <c r="D333" s="147">
        <v>700000000</v>
      </c>
      <c r="E333" s="148">
        <v>0</v>
      </c>
      <c r="F333" s="147">
        <v>300000000</v>
      </c>
      <c r="G333" s="32">
        <f>D333-E333+F333</f>
        <v>1000000000</v>
      </c>
      <c r="H333" s="31" t="s">
        <v>240</v>
      </c>
    </row>
    <row r="334" spans="1:8" x14ac:dyDescent="0.3">
      <c r="A334" s="589" t="s">
        <v>23</v>
      </c>
      <c r="B334" s="589"/>
      <c r="C334" s="589"/>
      <c r="D334" s="119">
        <f t="shared" ref="D334:F334" si="20">SUM(D317:D333)</f>
        <v>700000000</v>
      </c>
      <c r="E334" s="117">
        <f t="shared" si="20"/>
        <v>0</v>
      </c>
      <c r="F334" s="119">
        <f t="shared" si="20"/>
        <v>300000000</v>
      </c>
      <c r="G334" s="119">
        <f>SUM(G317:G333)</f>
        <v>1000000000</v>
      </c>
      <c r="H334" s="168"/>
    </row>
    <row r="358" spans="1:8" x14ac:dyDescent="0.3">
      <c r="A358" s="587" t="s">
        <v>213</v>
      </c>
      <c r="B358" s="587"/>
      <c r="C358" s="587"/>
      <c r="D358" s="587"/>
      <c r="E358" s="587"/>
      <c r="F358" s="587"/>
      <c r="G358" s="587"/>
      <c r="H358" s="587"/>
    </row>
    <row r="359" spans="1:8" x14ac:dyDescent="0.3">
      <c r="A359" s="587" t="s">
        <v>1159</v>
      </c>
      <c r="B359" s="587"/>
      <c r="C359" s="587"/>
      <c r="D359" s="587"/>
      <c r="E359" s="587"/>
      <c r="F359" s="587"/>
      <c r="G359" s="587"/>
      <c r="H359" s="587"/>
    </row>
    <row r="360" spans="1:8" x14ac:dyDescent="0.3">
      <c r="A360" s="587" t="s">
        <v>215</v>
      </c>
      <c r="B360" s="587"/>
      <c r="C360" s="587"/>
      <c r="D360" s="587"/>
      <c r="E360" s="587"/>
      <c r="F360" s="587"/>
      <c r="G360" s="587"/>
      <c r="H360" s="587"/>
    </row>
    <row r="361" spans="1:8" x14ac:dyDescent="0.3">
      <c r="A361" s="336"/>
      <c r="B361" s="336"/>
      <c r="C361" s="336"/>
      <c r="D361" s="336"/>
      <c r="E361" s="336"/>
      <c r="F361" s="336"/>
      <c r="G361" s="336"/>
    </row>
    <row r="362" spans="1:8" x14ac:dyDescent="0.3">
      <c r="A362" s="33" t="s">
        <v>640</v>
      </c>
      <c r="B362" s="33"/>
      <c r="C362" s="33"/>
      <c r="D362" s="33"/>
      <c r="E362" s="33"/>
      <c r="F362" s="33"/>
      <c r="G362" s="34"/>
    </row>
    <row r="363" spans="1:8" x14ac:dyDescent="0.3">
      <c r="A363" s="34"/>
      <c r="B363" s="336"/>
      <c r="C363" s="34"/>
      <c r="D363" s="34"/>
      <c r="E363" s="34"/>
      <c r="F363" s="34"/>
      <c r="G363" s="34"/>
    </row>
    <row r="364" spans="1:8" x14ac:dyDescent="0.3">
      <c r="A364" s="337" t="s">
        <v>641</v>
      </c>
      <c r="B364" s="337"/>
      <c r="C364" s="337"/>
      <c r="D364" s="34"/>
      <c r="E364" s="34"/>
      <c r="F364" s="34"/>
      <c r="G364" s="34"/>
    </row>
    <row r="365" spans="1:8" ht="24" x14ac:dyDescent="0.3">
      <c r="A365" s="142" t="s">
        <v>0</v>
      </c>
      <c r="B365" s="142" t="s">
        <v>20</v>
      </c>
      <c r="C365" s="142" t="s">
        <v>21</v>
      </c>
      <c r="D365" s="142" t="s">
        <v>214</v>
      </c>
      <c r="E365" s="142" t="s">
        <v>53</v>
      </c>
      <c r="F365" s="142" t="s">
        <v>22</v>
      </c>
      <c r="G365" s="142" t="s">
        <v>1160</v>
      </c>
      <c r="H365" s="142" t="s">
        <v>44</v>
      </c>
    </row>
    <row r="366" spans="1:8" x14ac:dyDescent="0.3">
      <c r="A366" s="31">
        <v>1</v>
      </c>
      <c r="B366" s="121">
        <v>22020102</v>
      </c>
      <c r="C366" s="122" t="s">
        <v>216</v>
      </c>
      <c r="D366" s="123">
        <v>2000000</v>
      </c>
      <c r="E366" s="148">
        <v>0</v>
      </c>
      <c r="F366" s="148">
        <v>0</v>
      </c>
      <c r="G366" s="32">
        <f t="shared" ref="G366:G379" si="21">D366-E366+F366</f>
        <v>2000000</v>
      </c>
      <c r="H366" s="31"/>
    </row>
    <row r="367" spans="1:8" x14ac:dyDescent="0.3">
      <c r="A367" s="31">
        <v>2</v>
      </c>
      <c r="B367" s="121">
        <v>22020201</v>
      </c>
      <c r="C367" s="122" t="s">
        <v>217</v>
      </c>
      <c r="D367" s="123">
        <v>800000</v>
      </c>
      <c r="E367" s="148">
        <v>0</v>
      </c>
      <c r="F367" s="148">
        <v>0</v>
      </c>
      <c r="G367" s="32">
        <f t="shared" si="21"/>
        <v>800000</v>
      </c>
      <c r="H367" s="31"/>
    </row>
    <row r="368" spans="1:8" x14ac:dyDescent="0.3">
      <c r="A368" s="31">
        <v>3</v>
      </c>
      <c r="B368" s="121">
        <v>22020202</v>
      </c>
      <c r="C368" s="122" t="s">
        <v>218</v>
      </c>
      <c r="D368" s="123">
        <v>500000</v>
      </c>
      <c r="E368" s="148">
        <v>0</v>
      </c>
      <c r="F368" s="148">
        <v>0</v>
      </c>
      <c r="G368" s="32">
        <f t="shared" si="21"/>
        <v>500000</v>
      </c>
      <c r="H368" s="31"/>
    </row>
    <row r="369" spans="1:8" x14ac:dyDescent="0.3">
      <c r="A369" s="31">
        <v>4</v>
      </c>
      <c r="B369" s="121">
        <v>22020301</v>
      </c>
      <c r="C369" s="122" t="s">
        <v>220</v>
      </c>
      <c r="D369" s="123">
        <v>800000</v>
      </c>
      <c r="E369" s="148">
        <v>0</v>
      </c>
      <c r="F369" s="148">
        <v>0</v>
      </c>
      <c r="G369" s="32">
        <f t="shared" si="21"/>
        <v>800000</v>
      </c>
      <c r="H369" s="31"/>
    </row>
    <row r="370" spans="1:8" x14ac:dyDescent="0.3">
      <c r="A370" s="31">
        <v>5</v>
      </c>
      <c r="B370" s="121">
        <v>22020305</v>
      </c>
      <c r="C370" s="122" t="s">
        <v>233</v>
      </c>
      <c r="D370" s="123">
        <v>700000</v>
      </c>
      <c r="E370" s="148">
        <v>0</v>
      </c>
      <c r="F370" s="148">
        <v>0</v>
      </c>
      <c r="G370" s="32">
        <f t="shared" si="21"/>
        <v>700000</v>
      </c>
      <c r="H370" s="31"/>
    </row>
    <row r="371" spans="1:8" ht="20.399999999999999" x14ac:dyDescent="0.3">
      <c r="A371" s="31">
        <v>6</v>
      </c>
      <c r="B371" s="121">
        <v>22020401</v>
      </c>
      <c r="C371" s="122" t="s">
        <v>222</v>
      </c>
      <c r="D371" s="123">
        <v>1700000</v>
      </c>
      <c r="E371" s="148">
        <v>0</v>
      </c>
      <c r="F371" s="148">
        <v>0</v>
      </c>
      <c r="G371" s="32">
        <f t="shared" si="21"/>
        <v>1700000</v>
      </c>
      <c r="H371" s="31"/>
    </row>
    <row r="372" spans="1:8" x14ac:dyDescent="0.3">
      <c r="A372" s="31">
        <v>7</v>
      </c>
      <c r="B372" s="121">
        <v>22020402</v>
      </c>
      <c r="C372" s="122" t="s">
        <v>223</v>
      </c>
      <c r="D372" s="123">
        <v>800000</v>
      </c>
      <c r="E372" s="148">
        <v>0</v>
      </c>
      <c r="F372" s="148">
        <v>0</v>
      </c>
      <c r="G372" s="32">
        <f t="shared" si="21"/>
        <v>800000</v>
      </c>
      <c r="H372" s="31"/>
    </row>
    <row r="373" spans="1:8" x14ac:dyDescent="0.3">
      <c r="A373" s="31">
        <v>8</v>
      </c>
      <c r="B373" s="121">
        <v>22020501</v>
      </c>
      <c r="C373" s="122" t="s">
        <v>225</v>
      </c>
      <c r="D373" s="123">
        <v>3000000</v>
      </c>
      <c r="E373" s="148">
        <v>0</v>
      </c>
      <c r="F373" s="148">
        <v>0</v>
      </c>
      <c r="G373" s="32">
        <f t="shared" si="21"/>
        <v>3000000</v>
      </c>
      <c r="H373" s="31"/>
    </row>
    <row r="374" spans="1:8" x14ac:dyDescent="0.3">
      <c r="A374" s="31">
        <v>9</v>
      </c>
      <c r="B374" s="121">
        <v>22020601</v>
      </c>
      <c r="C374" s="122" t="s">
        <v>226</v>
      </c>
      <c r="D374" s="123">
        <v>8500000</v>
      </c>
      <c r="E374" s="148">
        <v>0</v>
      </c>
      <c r="F374" s="148">
        <v>3000000</v>
      </c>
      <c r="G374" s="32">
        <f t="shared" si="21"/>
        <v>11500000</v>
      </c>
      <c r="H374" s="31" t="s">
        <v>240</v>
      </c>
    </row>
    <row r="375" spans="1:8" x14ac:dyDescent="0.3">
      <c r="A375" s="31">
        <v>10</v>
      </c>
      <c r="B375" s="121">
        <v>22020605</v>
      </c>
      <c r="C375" s="122" t="s">
        <v>238</v>
      </c>
      <c r="D375" s="123">
        <v>5000000</v>
      </c>
      <c r="E375" s="148">
        <v>0</v>
      </c>
      <c r="F375" s="148">
        <v>1500000</v>
      </c>
      <c r="G375" s="32">
        <f t="shared" si="21"/>
        <v>6500000</v>
      </c>
      <c r="H375" s="31" t="s">
        <v>240</v>
      </c>
    </row>
    <row r="376" spans="1:8" x14ac:dyDescent="0.3">
      <c r="A376" s="31">
        <v>11</v>
      </c>
      <c r="B376" s="121">
        <v>22020712</v>
      </c>
      <c r="C376" s="122" t="s">
        <v>242</v>
      </c>
      <c r="D376" s="123">
        <v>2500000</v>
      </c>
      <c r="E376" s="148">
        <v>0</v>
      </c>
      <c r="F376" s="148">
        <v>0</v>
      </c>
      <c r="G376" s="32">
        <f t="shared" si="21"/>
        <v>2500000</v>
      </c>
      <c r="H376" s="31"/>
    </row>
    <row r="377" spans="1:8" x14ac:dyDescent="0.3">
      <c r="A377" s="31">
        <v>12</v>
      </c>
      <c r="B377" s="121">
        <v>22020803</v>
      </c>
      <c r="C377" s="122" t="s">
        <v>239</v>
      </c>
      <c r="D377" s="123">
        <v>4600000</v>
      </c>
      <c r="E377" s="148">
        <v>0</v>
      </c>
      <c r="F377" s="148">
        <v>0</v>
      </c>
      <c r="G377" s="32">
        <f t="shared" si="21"/>
        <v>4600000</v>
      </c>
      <c r="H377" s="31"/>
    </row>
    <row r="378" spans="1:8" x14ac:dyDescent="0.3">
      <c r="A378" s="31">
        <v>13</v>
      </c>
      <c r="B378" s="121">
        <v>22021001</v>
      </c>
      <c r="C378" s="122" t="s">
        <v>229</v>
      </c>
      <c r="D378" s="123">
        <v>500000</v>
      </c>
      <c r="E378" s="148">
        <v>0</v>
      </c>
      <c r="F378" s="148">
        <v>0</v>
      </c>
      <c r="G378" s="32">
        <f t="shared" si="21"/>
        <v>500000</v>
      </c>
      <c r="H378" s="31"/>
    </row>
    <row r="379" spans="1:8" x14ac:dyDescent="0.3">
      <c r="A379" s="31">
        <v>14</v>
      </c>
      <c r="B379" s="121">
        <v>22021007</v>
      </c>
      <c r="C379" s="122" t="s">
        <v>230</v>
      </c>
      <c r="D379" s="123">
        <v>600000</v>
      </c>
      <c r="E379" s="148">
        <v>0</v>
      </c>
      <c r="F379" s="148">
        <v>0</v>
      </c>
      <c r="G379" s="32">
        <f t="shared" si="21"/>
        <v>600000</v>
      </c>
      <c r="H379" s="31"/>
    </row>
    <row r="380" spans="1:8" x14ac:dyDescent="0.3">
      <c r="A380" s="589" t="s">
        <v>23</v>
      </c>
      <c r="B380" s="589"/>
      <c r="C380" s="589"/>
      <c r="D380" s="119">
        <f t="shared" ref="D380:F380" si="22">SUM(D364:D379)</f>
        <v>32000000</v>
      </c>
      <c r="E380" s="117">
        <f t="shared" si="22"/>
        <v>0</v>
      </c>
      <c r="F380" s="119">
        <f t="shared" si="22"/>
        <v>4500000</v>
      </c>
      <c r="G380" s="119">
        <f>SUM(G364:G379)</f>
        <v>36500000</v>
      </c>
      <c r="H380" s="168"/>
    </row>
    <row r="391" spans="1:8" x14ac:dyDescent="0.3">
      <c r="A391" s="587" t="s">
        <v>213</v>
      </c>
      <c r="B391" s="587"/>
      <c r="C391" s="587"/>
      <c r="D391" s="587"/>
      <c r="E391" s="587"/>
      <c r="F391" s="587"/>
      <c r="G391" s="587"/>
      <c r="H391" s="587"/>
    </row>
    <row r="392" spans="1:8" x14ac:dyDescent="0.3">
      <c r="A392" s="587" t="s">
        <v>1159</v>
      </c>
      <c r="B392" s="587"/>
      <c r="C392" s="587"/>
      <c r="D392" s="587"/>
      <c r="E392" s="587"/>
      <c r="F392" s="587"/>
      <c r="G392" s="587"/>
      <c r="H392" s="587"/>
    </row>
    <row r="393" spans="1:8" x14ac:dyDescent="0.3">
      <c r="A393" s="587" t="s">
        <v>215</v>
      </c>
      <c r="B393" s="587"/>
      <c r="C393" s="587"/>
      <c r="D393" s="587"/>
      <c r="E393" s="587"/>
      <c r="F393" s="587"/>
      <c r="G393" s="587"/>
      <c r="H393" s="587"/>
    </row>
    <row r="394" spans="1:8" x14ac:dyDescent="0.3">
      <c r="A394" s="336"/>
      <c r="B394" s="336"/>
      <c r="C394" s="336"/>
      <c r="D394" s="336"/>
      <c r="E394" s="336"/>
      <c r="F394" s="336"/>
      <c r="G394" s="336"/>
    </row>
    <row r="395" spans="1:8" x14ac:dyDescent="0.3">
      <c r="A395" s="33" t="s">
        <v>642</v>
      </c>
      <c r="B395" s="33"/>
      <c r="C395" s="33"/>
      <c r="D395" s="33"/>
      <c r="E395" s="33"/>
      <c r="F395" s="33"/>
      <c r="G395" s="34"/>
    </row>
    <row r="396" spans="1:8" x14ac:dyDescent="0.3">
      <c r="A396" s="34"/>
      <c r="B396" s="336"/>
      <c r="C396" s="34"/>
      <c r="D396" s="34"/>
      <c r="E396" s="34"/>
      <c r="F396" s="34"/>
      <c r="G396" s="34"/>
    </row>
    <row r="397" spans="1:8" x14ac:dyDescent="0.3">
      <c r="A397" s="337" t="s">
        <v>643</v>
      </c>
      <c r="B397" s="337"/>
      <c r="C397" s="337"/>
      <c r="D397" s="34"/>
      <c r="E397" s="34"/>
      <c r="F397" s="34"/>
      <c r="G397" s="34"/>
    </row>
    <row r="398" spans="1:8" ht="24" x14ac:dyDescent="0.3">
      <c r="A398" s="142" t="s">
        <v>0</v>
      </c>
      <c r="B398" s="142" t="s">
        <v>20</v>
      </c>
      <c r="C398" s="142" t="s">
        <v>21</v>
      </c>
      <c r="D398" s="142" t="s">
        <v>214</v>
      </c>
      <c r="E398" s="142" t="s">
        <v>53</v>
      </c>
      <c r="F398" s="142" t="s">
        <v>22</v>
      </c>
      <c r="G398" s="142" t="s">
        <v>1160</v>
      </c>
      <c r="H398" s="142" t="s">
        <v>44</v>
      </c>
    </row>
    <row r="399" spans="1:8" x14ac:dyDescent="0.3">
      <c r="A399" s="31">
        <v>1</v>
      </c>
      <c r="B399" s="121">
        <v>22020101</v>
      </c>
      <c r="C399" s="122" t="s">
        <v>288</v>
      </c>
      <c r="D399" s="123">
        <v>10000000</v>
      </c>
      <c r="E399" s="32">
        <v>0</v>
      </c>
      <c r="F399" s="32">
        <v>0</v>
      </c>
      <c r="G399" s="32">
        <f t="shared" ref="G399:G415" si="23">D399-E399+F399</f>
        <v>10000000</v>
      </c>
      <c r="H399" s="31"/>
    </row>
    <row r="400" spans="1:8" x14ac:dyDescent="0.3">
      <c r="A400" s="31">
        <v>2</v>
      </c>
      <c r="B400" s="121">
        <v>22020202</v>
      </c>
      <c r="C400" s="122" t="s">
        <v>218</v>
      </c>
      <c r="D400" s="123">
        <v>2000000</v>
      </c>
      <c r="E400" s="32">
        <v>0</v>
      </c>
      <c r="F400" s="32">
        <v>0</v>
      </c>
      <c r="G400" s="32">
        <f t="shared" si="23"/>
        <v>2000000</v>
      </c>
      <c r="H400" s="31"/>
    </row>
    <row r="401" spans="1:8" x14ac:dyDescent="0.3">
      <c r="A401" s="31">
        <v>3</v>
      </c>
      <c r="B401" s="121">
        <v>22020301</v>
      </c>
      <c r="C401" s="122" t="s">
        <v>220</v>
      </c>
      <c r="D401" s="123">
        <v>3000000</v>
      </c>
      <c r="E401" s="32">
        <v>0</v>
      </c>
      <c r="F401" s="32">
        <v>2500000</v>
      </c>
      <c r="G401" s="32">
        <f t="shared" si="23"/>
        <v>5500000</v>
      </c>
      <c r="H401" s="31" t="s">
        <v>240</v>
      </c>
    </row>
    <row r="402" spans="1:8" x14ac:dyDescent="0.3">
      <c r="A402" s="31">
        <v>4</v>
      </c>
      <c r="B402" s="121">
        <v>22020305</v>
      </c>
      <c r="C402" s="122" t="s">
        <v>233</v>
      </c>
      <c r="D402" s="123">
        <v>1000000</v>
      </c>
      <c r="E402" s="32">
        <v>0</v>
      </c>
      <c r="F402" s="32">
        <v>0</v>
      </c>
      <c r="G402" s="32">
        <f t="shared" si="23"/>
        <v>1000000</v>
      </c>
      <c r="H402" s="31"/>
    </row>
    <row r="403" spans="1:8" ht="20.399999999999999" x14ac:dyDescent="0.3">
      <c r="A403" s="31">
        <v>5</v>
      </c>
      <c r="B403" s="121">
        <v>22020401</v>
      </c>
      <c r="C403" s="122" t="s">
        <v>222</v>
      </c>
      <c r="D403" s="123">
        <v>5000000</v>
      </c>
      <c r="E403" s="32">
        <v>0</v>
      </c>
      <c r="F403" s="32">
        <v>3000000</v>
      </c>
      <c r="G403" s="32">
        <f t="shared" si="23"/>
        <v>8000000</v>
      </c>
      <c r="H403" s="31" t="s">
        <v>240</v>
      </c>
    </row>
    <row r="404" spans="1:8" x14ac:dyDescent="0.3">
      <c r="A404" s="31">
        <v>6</v>
      </c>
      <c r="B404" s="121">
        <v>22020402</v>
      </c>
      <c r="C404" s="122" t="s">
        <v>223</v>
      </c>
      <c r="D404" s="123">
        <v>2000000</v>
      </c>
      <c r="E404" s="32">
        <v>0</v>
      </c>
      <c r="F404" s="32">
        <v>0</v>
      </c>
      <c r="G404" s="32">
        <f t="shared" si="23"/>
        <v>2000000</v>
      </c>
      <c r="H404" s="31"/>
    </row>
    <row r="405" spans="1:8" x14ac:dyDescent="0.3">
      <c r="A405" s="31">
        <v>7</v>
      </c>
      <c r="B405" s="121">
        <v>22020501</v>
      </c>
      <c r="C405" s="122" t="s">
        <v>225</v>
      </c>
      <c r="D405" s="123">
        <v>5000000</v>
      </c>
      <c r="E405" s="32">
        <v>0</v>
      </c>
      <c r="F405" s="32">
        <v>0</v>
      </c>
      <c r="G405" s="32">
        <f t="shared" si="23"/>
        <v>5000000</v>
      </c>
      <c r="H405" s="31"/>
    </row>
    <row r="406" spans="1:8" ht="15.75" customHeight="1" x14ac:dyDescent="0.3">
      <c r="A406" s="31">
        <v>8</v>
      </c>
      <c r="B406" s="121">
        <v>22020503</v>
      </c>
      <c r="C406" s="122" t="s">
        <v>236</v>
      </c>
      <c r="D406" s="123">
        <v>32000000</v>
      </c>
      <c r="E406" s="32">
        <v>0</v>
      </c>
      <c r="F406" s="32">
        <v>5000000</v>
      </c>
      <c r="G406" s="32">
        <f t="shared" si="23"/>
        <v>37000000</v>
      </c>
      <c r="H406" s="31" t="s">
        <v>240</v>
      </c>
    </row>
    <row r="407" spans="1:8" x14ac:dyDescent="0.3">
      <c r="A407" s="31">
        <v>9</v>
      </c>
      <c r="B407" s="121">
        <v>22021003</v>
      </c>
      <c r="C407" s="122" t="s">
        <v>259</v>
      </c>
      <c r="D407" s="123">
        <v>7000000</v>
      </c>
      <c r="E407" s="32">
        <v>0</v>
      </c>
      <c r="F407" s="32">
        <v>0</v>
      </c>
      <c r="G407" s="32">
        <f t="shared" si="23"/>
        <v>7000000</v>
      </c>
      <c r="H407" s="31"/>
    </row>
    <row r="408" spans="1:8" x14ac:dyDescent="0.3">
      <c r="A408" s="31">
        <v>10</v>
      </c>
      <c r="B408" s="121">
        <v>22021007</v>
      </c>
      <c r="C408" s="122" t="s">
        <v>230</v>
      </c>
      <c r="D408" s="123">
        <v>12400000</v>
      </c>
      <c r="E408" s="32">
        <v>0</v>
      </c>
      <c r="F408" s="32">
        <v>0</v>
      </c>
      <c r="G408" s="32">
        <f t="shared" si="23"/>
        <v>12400000</v>
      </c>
      <c r="H408" s="31"/>
    </row>
    <row r="409" spans="1:8" x14ac:dyDescent="0.3">
      <c r="A409" s="31">
        <v>11</v>
      </c>
      <c r="B409" s="121">
        <v>22021012</v>
      </c>
      <c r="C409" s="122" t="s">
        <v>313</v>
      </c>
      <c r="D409" s="123">
        <v>3500000</v>
      </c>
      <c r="E409" s="32">
        <v>0</v>
      </c>
      <c r="F409" s="32">
        <v>0</v>
      </c>
      <c r="G409" s="32">
        <f t="shared" si="23"/>
        <v>3500000</v>
      </c>
      <c r="H409" s="31"/>
    </row>
    <row r="410" spans="1:8" x14ac:dyDescent="0.3">
      <c r="A410" s="31">
        <v>12</v>
      </c>
      <c r="B410" s="121">
        <v>22021013</v>
      </c>
      <c r="C410" s="122" t="s">
        <v>605</v>
      </c>
      <c r="D410" s="123">
        <v>3000000</v>
      </c>
      <c r="E410" s="32">
        <v>0</v>
      </c>
      <c r="F410" s="32">
        <v>0</v>
      </c>
      <c r="G410" s="32">
        <f t="shared" si="23"/>
        <v>3000000</v>
      </c>
      <c r="H410" s="31"/>
    </row>
    <row r="411" spans="1:8" x14ac:dyDescent="0.3">
      <c r="A411" s="31">
        <v>13</v>
      </c>
      <c r="B411" s="121">
        <v>22021052</v>
      </c>
      <c r="C411" s="122" t="s">
        <v>252</v>
      </c>
      <c r="D411" s="123">
        <v>8000000</v>
      </c>
      <c r="E411" s="32">
        <v>0</v>
      </c>
      <c r="F411" s="32">
        <v>0</v>
      </c>
      <c r="G411" s="32">
        <f t="shared" si="23"/>
        <v>8000000</v>
      </c>
      <c r="H411" s="31"/>
    </row>
    <row r="412" spans="1:8" ht="20.399999999999999" x14ac:dyDescent="0.3">
      <c r="A412" s="31">
        <v>14</v>
      </c>
      <c r="B412" s="121">
        <v>22021054</v>
      </c>
      <c r="C412" s="122" t="s">
        <v>606</v>
      </c>
      <c r="D412" s="123">
        <v>0</v>
      </c>
      <c r="E412" s="32">
        <v>0</v>
      </c>
      <c r="F412" s="32">
        <v>0</v>
      </c>
      <c r="G412" s="32">
        <f t="shared" si="23"/>
        <v>0</v>
      </c>
      <c r="H412" s="31"/>
    </row>
    <row r="413" spans="1:8" x14ac:dyDescent="0.3">
      <c r="A413" s="31">
        <v>15</v>
      </c>
      <c r="B413" s="121">
        <v>22021062</v>
      </c>
      <c r="C413" s="122" t="s">
        <v>325</v>
      </c>
      <c r="D413" s="123">
        <v>1500000</v>
      </c>
      <c r="E413" s="32">
        <v>0</v>
      </c>
      <c r="F413" s="32">
        <v>0</v>
      </c>
      <c r="G413" s="32">
        <f t="shared" si="23"/>
        <v>1500000</v>
      </c>
      <c r="H413" s="31"/>
    </row>
    <row r="414" spans="1:8" x14ac:dyDescent="0.3">
      <c r="A414" s="31">
        <v>16</v>
      </c>
      <c r="B414" s="121">
        <v>22021065</v>
      </c>
      <c r="C414" s="122" t="s">
        <v>607</v>
      </c>
      <c r="D414" s="123">
        <v>0</v>
      </c>
      <c r="E414" s="32">
        <v>0</v>
      </c>
      <c r="F414" s="32">
        <v>0</v>
      </c>
      <c r="G414" s="32">
        <f t="shared" si="23"/>
        <v>0</v>
      </c>
      <c r="H414" s="31"/>
    </row>
    <row r="415" spans="1:8" x14ac:dyDescent="0.3">
      <c r="A415" s="31">
        <v>17</v>
      </c>
      <c r="B415" s="121">
        <v>22030102</v>
      </c>
      <c r="C415" s="122" t="s">
        <v>679</v>
      </c>
      <c r="D415" s="123">
        <v>15000000</v>
      </c>
      <c r="E415" s="32">
        <v>0</v>
      </c>
      <c r="F415" s="32">
        <v>0</v>
      </c>
      <c r="G415" s="32">
        <f t="shared" si="23"/>
        <v>15000000</v>
      </c>
      <c r="H415" s="31"/>
    </row>
    <row r="416" spans="1:8" x14ac:dyDescent="0.3">
      <c r="A416" s="589" t="s">
        <v>23</v>
      </c>
      <c r="B416" s="589"/>
      <c r="C416" s="589"/>
      <c r="D416" s="119">
        <f t="shared" ref="D416:F416" si="24">SUM(D399:D415)</f>
        <v>110400000</v>
      </c>
      <c r="E416" s="117">
        <f t="shared" si="24"/>
        <v>0</v>
      </c>
      <c r="F416" s="119">
        <f t="shared" si="24"/>
        <v>10500000</v>
      </c>
      <c r="G416" s="119">
        <f>SUM(G399:G415)</f>
        <v>120900000</v>
      </c>
      <c r="H416" s="338"/>
    </row>
    <row r="422" spans="1:8" x14ac:dyDescent="0.3">
      <c r="A422" s="587" t="s">
        <v>213</v>
      </c>
      <c r="B422" s="587"/>
      <c r="C422" s="587"/>
      <c r="D422" s="587"/>
      <c r="E422" s="587"/>
      <c r="F422" s="587"/>
      <c r="G422" s="587"/>
      <c r="H422" s="587"/>
    </row>
    <row r="423" spans="1:8" x14ac:dyDescent="0.3">
      <c r="A423" s="587" t="s">
        <v>1159</v>
      </c>
      <c r="B423" s="587"/>
      <c r="C423" s="587"/>
      <c r="D423" s="587"/>
      <c r="E423" s="587"/>
      <c r="F423" s="587"/>
      <c r="G423" s="587"/>
      <c r="H423" s="587"/>
    </row>
    <row r="424" spans="1:8" x14ac:dyDescent="0.3">
      <c r="A424" s="587" t="s">
        <v>215</v>
      </c>
      <c r="B424" s="587"/>
      <c r="C424" s="587"/>
      <c r="D424" s="587"/>
      <c r="E424" s="587"/>
      <c r="F424" s="587"/>
      <c r="G424" s="587"/>
      <c r="H424" s="587"/>
    </row>
    <row r="425" spans="1:8" x14ac:dyDescent="0.3">
      <c r="A425" s="336"/>
      <c r="B425" s="336"/>
      <c r="C425" s="336"/>
      <c r="D425" s="336"/>
      <c r="E425" s="336"/>
      <c r="F425" s="336"/>
      <c r="G425" s="336"/>
    </row>
    <row r="426" spans="1:8" x14ac:dyDescent="0.3">
      <c r="A426" s="33" t="s">
        <v>1111</v>
      </c>
      <c r="B426" s="33"/>
      <c r="C426" s="33"/>
      <c r="D426" s="33"/>
      <c r="E426" s="33"/>
      <c r="F426" s="33"/>
      <c r="G426" s="34"/>
    </row>
    <row r="427" spans="1:8" x14ac:dyDescent="0.3">
      <c r="A427" s="34"/>
      <c r="B427" s="336"/>
      <c r="C427" s="34"/>
      <c r="D427" s="34"/>
      <c r="E427" s="34"/>
      <c r="F427" s="34"/>
      <c r="G427" s="34"/>
    </row>
    <row r="428" spans="1:8" x14ac:dyDescent="0.3">
      <c r="A428" s="337" t="s">
        <v>1112</v>
      </c>
      <c r="B428" s="337"/>
      <c r="C428" s="337"/>
      <c r="D428" s="34"/>
      <c r="E428" s="34"/>
      <c r="F428" s="34"/>
      <c r="G428" s="34"/>
    </row>
    <row r="429" spans="1:8" ht="24" x14ac:dyDescent="0.3">
      <c r="A429" s="142" t="s">
        <v>0</v>
      </c>
      <c r="B429" s="142" t="s">
        <v>20</v>
      </c>
      <c r="C429" s="142" t="s">
        <v>21</v>
      </c>
      <c r="D429" s="142" t="s">
        <v>214</v>
      </c>
      <c r="E429" s="142" t="s">
        <v>53</v>
      </c>
      <c r="F429" s="142" t="s">
        <v>22</v>
      </c>
      <c r="G429" s="142" t="s">
        <v>1160</v>
      </c>
      <c r="H429" s="142" t="s">
        <v>44</v>
      </c>
    </row>
    <row r="430" spans="1:8" x14ac:dyDescent="0.3">
      <c r="A430" s="31">
        <v>1</v>
      </c>
      <c r="B430" s="121">
        <v>22020102</v>
      </c>
      <c r="C430" s="122" t="s">
        <v>216</v>
      </c>
      <c r="D430" s="123">
        <v>8000000</v>
      </c>
      <c r="E430" s="32">
        <v>0</v>
      </c>
      <c r="F430" s="32">
        <v>1500000</v>
      </c>
      <c r="G430" s="32">
        <f t="shared" ref="G430:G441" si="25">D430-E430+F430</f>
        <v>9500000</v>
      </c>
      <c r="H430" s="31" t="s">
        <v>240</v>
      </c>
    </row>
    <row r="431" spans="1:8" x14ac:dyDescent="0.3">
      <c r="A431" s="31">
        <v>2</v>
      </c>
      <c r="B431" s="121">
        <v>22020201</v>
      </c>
      <c r="C431" s="122" t="s">
        <v>217</v>
      </c>
      <c r="D431" s="123">
        <v>500000</v>
      </c>
      <c r="E431" s="32">
        <v>0</v>
      </c>
      <c r="F431" s="32">
        <v>1000000</v>
      </c>
      <c r="G431" s="32">
        <f t="shared" si="25"/>
        <v>1500000</v>
      </c>
      <c r="H431" s="31" t="s">
        <v>240</v>
      </c>
    </row>
    <row r="432" spans="1:8" x14ac:dyDescent="0.3">
      <c r="A432" s="31">
        <v>3</v>
      </c>
      <c r="B432" s="121">
        <v>22020202</v>
      </c>
      <c r="C432" s="122" t="s">
        <v>218</v>
      </c>
      <c r="D432" s="123">
        <v>200000</v>
      </c>
      <c r="E432" s="32">
        <v>0</v>
      </c>
      <c r="F432" s="32">
        <v>200000</v>
      </c>
      <c r="G432" s="32">
        <f t="shared" si="25"/>
        <v>400000</v>
      </c>
      <c r="H432" s="31" t="s">
        <v>240</v>
      </c>
    </row>
    <row r="433" spans="1:8" x14ac:dyDescent="0.3">
      <c r="A433" s="31">
        <v>4</v>
      </c>
      <c r="B433" s="121">
        <v>22020301</v>
      </c>
      <c r="C433" s="122" t="s">
        <v>220</v>
      </c>
      <c r="D433" s="123">
        <v>2000000</v>
      </c>
      <c r="E433" s="32">
        <v>0</v>
      </c>
      <c r="F433" s="32">
        <v>1000000</v>
      </c>
      <c r="G433" s="32">
        <f t="shared" si="25"/>
        <v>3000000</v>
      </c>
      <c r="H433" s="31" t="s">
        <v>240</v>
      </c>
    </row>
    <row r="434" spans="1:8" ht="16.5" customHeight="1" x14ac:dyDescent="0.3">
      <c r="A434" s="31">
        <v>5</v>
      </c>
      <c r="B434" s="121">
        <v>22020305</v>
      </c>
      <c r="C434" s="122" t="s">
        <v>233</v>
      </c>
      <c r="D434" s="123">
        <v>2500000</v>
      </c>
      <c r="E434" s="32">
        <v>0</v>
      </c>
      <c r="F434" s="32">
        <v>500000</v>
      </c>
      <c r="G434" s="32">
        <f t="shared" si="25"/>
        <v>3000000</v>
      </c>
      <c r="H434" s="31" t="s">
        <v>240</v>
      </c>
    </row>
    <row r="435" spans="1:8" ht="20.399999999999999" x14ac:dyDescent="0.3">
      <c r="A435" s="31">
        <v>6</v>
      </c>
      <c r="B435" s="121">
        <v>22020401</v>
      </c>
      <c r="C435" s="122" t="s">
        <v>222</v>
      </c>
      <c r="D435" s="123">
        <v>5000000</v>
      </c>
      <c r="E435" s="32">
        <v>0</v>
      </c>
      <c r="F435" s="32">
        <v>500000</v>
      </c>
      <c r="G435" s="32">
        <f t="shared" si="25"/>
        <v>5500000</v>
      </c>
      <c r="H435" s="31" t="s">
        <v>240</v>
      </c>
    </row>
    <row r="436" spans="1:8" x14ac:dyDescent="0.3">
      <c r="A436" s="31">
        <v>7</v>
      </c>
      <c r="B436" s="121">
        <v>22020402</v>
      </c>
      <c r="C436" s="122" t="s">
        <v>223</v>
      </c>
      <c r="D436" s="123">
        <v>600000</v>
      </c>
      <c r="E436" s="32">
        <v>0</v>
      </c>
      <c r="F436" s="32">
        <v>100000</v>
      </c>
      <c r="G436" s="32">
        <f t="shared" si="25"/>
        <v>700000</v>
      </c>
      <c r="H436" s="31" t="s">
        <v>240</v>
      </c>
    </row>
    <row r="437" spans="1:8" x14ac:dyDescent="0.3">
      <c r="A437" s="31">
        <v>8</v>
      </c>
      <c r="B437" s="121">
        <v>22020501</v>
      </c>
      <c r="C437" s="122" t="s">
        <v>225</v>
      </c>
      <c r="D437" s="123">
        <v>13500000</v>
      </c>
      <c r="E437" s="32">
        <v>0</v>
      </c>
      <c r="F437" s="32">
        <v>1500000</v>
      </c>
      <c r="G437" s="32">
        <f t="shared" si="25"/>
        <v>15000000</v>
      </c>
      <c r="H437" s="31" t="s">
        <v>240</v>
      </c>
    </row>
    <row r="438" spans="1:8" ht="22.5" customHeight="1" x14ac:dyDescent="0.3">
      <c r="A438" s="31">
        <v>9</v>
      </c>
      <c r="B438" s="121">
        <v>22020503</v>
      </c>
      <c r="C438" s="122" t="s">
        <v>236</v>
      </c>
      <c r="D438" s="123">
        <v>0</v>
      </c>
      <c r="E438" s="32">
        <v>0</v>
      </c>
      <c r="F438" s="32">
        <v>0</v>
      </c>
      <c r="G438" s="32">
        <f t="shared" si="25"/>
        <v>0</v>
      </c>
      <c r="H438" s="31"/>
    </row>
    <row r="439" spans="1:8" x14ac:dyDescent="0.3">
      <c r="A439" s="31">
        <v>10</v>
      </c>
      <c r="B439" s="121">
        <v>22020709</v>
      </c>
      <c r="C439" s="122" t="s">
        <v>411</v>
      </c>
      <c r="D439" s="123">
        <v>4000000</v>
      </c>
      <c r="E439" s="32">
        <v>0</v>
      </c>
      <c r="F439" s="32">
        <v>3500000</v>
      </c>
      <c r="G439" s="32">
        <f t="shared" si="25"/>
        <v>7500000</v>
      </c>
      <c r="H439" s="31" t="s">
        <v>240</v>
      </c>
    </row>
    <row r="440" spans="1:8" ht="17.25" customHeight="1" x14ac:dyDescent="0.3">
      <c r="A440" s="31">
        <v>11</v>
      </c>
      <c r="B440" s="121">
        <v>22020901</v>
      </c>
      <c r="C440" s="122" t="s">
        <v>267</v>
      </c>
      <c r="D440" s="123">
        <v>0</v>
      </c>
      <c r="E440" s="32">
        <v>0</v>
      </c>
      <c r="F440" s="32">
        <v>0</v>
      </c>
      <c r="G440" s="32">
        <f t="shared" si="25"/>
        <v>0</v>
      </c>
      <c r="H440" s="31"/>
    </row>
    <row r="441" spans="1:8" x14ac:dyDescent="0.3">
      <c r="A441" s="31">
        <v>12</v>
      </c>
      <c r="B441" s="121">
        <v>22021007</v>
      </c>
      <c r="C441" s="122" t="s">
        <v>230</v>
      </c>
      <c r="D441" s="123">
        <v>700000</v>
      </c>
      <c r="E441" s="32">
        <v>0</v>
      </c>
      <c r="F441" s="32">
        <v>200000</v>
      </c>
      <c r="G441" s="32">
        <f t="shared" si="25"/>
        <v>900000</v>
      </c>
      <c r="H441" s="31" t="s">
        <v>240</v>
      </c>
    </row>
    <row r="442" spans="1:8" x14ac:dyDescent="0.3">
      <c r="A442" s="589" t="s">
        <v>23</v>
      </c>
      <c r="B442" s="589"/>
      <c r="C442" s="589"/>
      <c r="D442" s="119">
        <f t="shared" ref="D442:F442" si="26">SUM(D426:D441)</f>
        <v>37000000</v>
      </c>
      <c r="E442" s="117">
        <f t="shared" si="26"/>
        <v>0</v>
      </c>
      <c r="F442" s="117">
        <f t="shared" si="26"/>
        <v>10000000</v>
      </c>
      <c r="G442" s="117">
        <f>SUM(G430:G441)</f>
        <v>47000000</v>
      </c>
      <c r="H442" s="168"/>
    </row>
    <row r="454" spans="1:8" x14ac:dyDescent="0.3">
      <c r="A454" s="587" t="s">
        <v>213</v>
      </c>
      <c r="B454" s="587"/>
      <c r="C454" s="587"/>
      <c r="D454" s="587"/>
      <c r="E454" s="587"/>
      <c r="F454" s="587"/>
      <c r="G454" s="587"/>
      <c r="H454" s="587"/>
    </row>
    <row r="455" spans="1:8" x14ac:dyDescent="0.3">
      <c r="A455" s="587" t="s">
        <v>1159</v>
      </c>
      <c r="B455" s="587"/>
      <c r="C455" s="587"/>
      <c r="D455" s="587"/>
      <c r="E455" s="587"/>
      <c r="F455" s="587"/>
      <c r="G455" s="587"/>
      <c r="H455" s="587"/>
    </row>
    <row r="456" spans="1:8" x14ac:dyDescent="0.3">
      <c r="A456" s="587" t="s">
        <v>215</v>
      </c>
      <c r="B456" s="587"/>
      <c r="C456" s="587"/>
      <c r="D456" s="587"/>
      <c r="E456" s="587"/>
      <c r="F456" s="587"/>
      <c r="G456" s="587"/>
      <c r="H456" s="587"/>
    </row>
    <row r="457" spans="1:8" x14ac:dyDescent="0.3">
      <c r="A457" s="336"/>
      <c r="B457" s="336"/>
      <c r="C457" s="336"/>
      <c r="D457" s="336"/>
      <c r="E457" s="336"/>
      <c r="F457" s="336"/>
      <c r="G457" s="336"/>
    </row>
    <row r="458" spans="1:8" x14ac:dyDescent="0.3">
      <c r="A458" s="33" t="s">
        <v>644</v>
      </c>
      <c r="B458" s="33"/>
      <c r="C458" s="33"/>
      <c r="D458" s="33"/>
      <c r="E458" s="33"/>
      <c r="F458" s="33"/>
      <c r="G458" s="34"/>
    </row>
    <row r="459" spans="1:8" x14ac:dyDescent="0.3">
      <c r="A459" s="34"/>
      <c r="B459" s="336"/>
      <c r="C459" s="34"/>
      <c r="D459" s="34"/>
      <c r="E459" s="34"/>
      <c r="F459" s="34"/>
      <c r="G459" s="34"/>
    </row>
    <row r="460" spans="1:8" x14ac:dyDescent="0.3">
      <c r="A460" s="337" t="s">
        <v>645</v>
      </c>
      <c r="B460" s="337"/>
      <c r="C460" s="337"/>
      <c r="D460" s="34"/>
      <c r="E460" s="34"/>
      <c r="F460" s="34"/>
      <c r="G460" s="34"/>
    </row>
    <row r="461" spans="1:8" ht="24" x14ac:dyDescent="0.3">
      <c r="A461" s="142" t="s">
        <v>0</v>
      </c>
      <c r="B461" s="142" t="s">
        <v>20</v>
      </c>
      <c r="C461" s="142" t="s">
        <v>21</v>
      </c>
      <c r="D461" s="142" t="s">
        <v>214</v>
      </c>
      <c r="E461" s="142" t="s">
        <v>53</v>
      </c>
      <c r="F461" s="142" t="s">
        <v>22</v>
      </c>
      <c r="G461" s="142" t="s">
        <v>1160</v>
      </c>
      <c r="H461" s="142" t="s">
        <v>44</v>
      </c>
    </row>
    <row r="462" spans="1:8" ht="12.75" customHeight="1" x14ac:dyDescent="0.3">
      <c r="A462" s="31">
        <v>1</v>
      </c>
      <c r="B462" s="121">
        <v>22020101</v>
      </c>
      <c r="C462" s="122" t="s">
        <v>288</v>
      </c>
      <c r="D462" s="123">
        <v>0</v>
      </c>
      <c r="E462" s="32">
        <v>0</v>
      </c>
      <c r="F462" s="32">
        <v>0</v>
      </c>
      <c r="G462" s="32">
        <f t="shared" ref="G462:G474" si="27">D462-E462+F462</f>
        <v>0</v>
      </c>
      <c r="H462" s="31"/>
    </row>
    <row r="463" spans="1:8" x14ac:dyDescent="0.3">
      <c r="A463" s="31">
        <v>2</v>
      </c>
      <c r="B463" s="121">
        <v>22020102</v>
      </c>
      <c r="C463" s="122" t="s">
        <v>216</v>
      </c>
      <c r="D463" s="123">
        <v>3500000</v>
      </c>
      <c r="E463" s="32">
        <v>0</v>
      </c>
      <c r="F463" s="32">
        <v>0</v>
      </c>
      <c r="G463" s="32">
        <f t="shared" si="27"/>
        <v>3500000</v>
      </c>
      <c r="H463" s="31"/>
    </row>
    <row r="464" spans="1:8" x14ac:dyDescent="0.3">
      <c r="A464" s="31">
        <v>3</v>
      </c>
      <c r="B464" s="121">
        <v>22020201</v>
      </c>
      <c r="C464" s="122" t="s">
        <v>217</v>
      </c>
      <c r="D464" s="123">
        <v>1200000</v>
      </c>
      <c r="E464" s="32">
        <v>0</v>
      </c>
      <c r="F464" s="32">
        <v>0</v>
      </c>
      <c r="G464" s="32">
        <f t="shared" si="27"/>
        <v>1200000</v>
      </c>
      <c r="H464" s="31"/>
    </row>
    <row r="465" spans="1:8" x14ac:dyDescent="0.3">
      <c r="A465" s="31">
        <v>4</v>
      </c>
      <c r="B465" s="121">
        <v>22020202</v>
      </c>
      <c r="C465" s="122" t="s">
        <v>218</v>
      </c>
      <c r="D465" s="123">
        <v>1300000</v>
      </c>
      <c r="E465" s="32">
        <v>0</v>
      </c>
      <c r="F465" s="32">
        <v>0</v>
      </c>
      <c r="G465" s="32">
        <f t="shared" si="27"/>
        <v>1300000</v>
      </c>
      <c r="H465" s="31"/>
    </row>
    <row r="466" spans="1:8" x14ac:dyDescent="0.3">
      <c r="A466" s="31">
        <v>5</v>
      </c>
      <c r="B466" s="121">
        <v>22020203</v>
      </c>
      <c r="C466" s="122" t="s">
        <v>219</v>
      </c>
      <c r="D466" s="123">
        <v>1500000</v>
      </c>
      <c r="E466" s="32">
        <v>0</v>
      </c>
      <c r="F466" s="32">
        <v>0</v>
      </c>
      <c r="G466" s="32">
        <f t="shared" si="27"/>
        <v>1500000</v>
      </c>
      <c r="H466" s="31"/>
    </row>
    <row r="467" spans="1:8" x14ac:dyDescent="0.3">
      <c r="A467" s="31">
        <v>6</v>
      </c>
      <c r="B467" s="121">
        <v>22020301</v>
      </c>
      <c r="C467" s="122" t="s">
        <v>220</v>
      </c>
      <c r="D467" s="123">
        <v>4000000</v>
      </c>
      <c r="E467" s="32">
        <v>0</v>
      </c>
      <c r="F467" s="32">
        <v>0</v>
      </c>
      <c r="G467" s="32">
        <f t="shared" si="27"/>
        <v>4000000</v>
      </c>
      <c r="H467" s="31"/>
    </row>
    <row r="468" spans="1:8" ht="15.75" customHeight="1" x14ac:dyDescent="0.3">
      <c r="A468" s="31">
        <v>7</v>
      </c>
      <c r="B468" s="121">
        <v>22020305</v>
      </c>
      <c r="C468" s="122" t="s">
        <v>233</v>
      </c>
      <c r="D468" s="123">
        <v>2000000</v>
      </c>
      <c r="E468" s="32">
        <v>0</v>
      </c>
      <c r="F468" s="32">
        <v>0</v>
      </c>
      <c r="G468" s="32">
        <f t="shared" si="27"/>
        <v>2000000</v>
      </c>
      <c r="H468" s="31"/>
    </row>
    <row r="469" spans="1:8" ht="20.399999999999999" x14ac:dyDescent="0.3">
      <c r="A469" s="31">
        <v>8</v>
      </c>
      <c r="B469" s="121">
        <v>22020401</v>
      </c>
      <c r="C469" s="122" t="s">
        <v>222</v>
      </c>
      <c r="D469" s="123">
        <v>5000000</v>
      </c>
      <c r="E469" s="32">
        <v>0</v>
      </c>
      <c r="F469" s="32">
        <v>0</v>
      </c>
      <c r="G469" s="32">
        <f t="shared" si="27"/>
        <v>5000000</v>
      </c>
      <c r="H469" s="31"/>
    </row>
    <row r="470" spans="1:8" x14ac:dyDescent="0.3">
      <c r="A470" s="31">
        <v>9</v>
      </c>
      <c r="B470" s="121">
        <v>22020402</v>
      </c>
      <c r="C470" s="122" t="s">
        <v>223</v>
      </c>
      <c r="D470" s="123">
        <v>2000000</v>
      </c>
      <c r="E470" s="32">
        <v>0</v>
      </c>
      <c r="F470" s="32">
        <v>0</v>
      </c>
      <c r="G470" s="32">
        <f t="shared" si="27"/>
        <v>2000000</v>
      </c>
      <c r="H470" s="31"/>
    </row>
    <row r="471" spans="1:8" x14ac:dyDescent="0.3">
      <c r="A471" s="31">
        <v>10</v>
      </c>
      <c r="B471" s="121">
        <v>22020501</v>
      </c>
      <c r="C471" s="122" t="s">
        <v>225</v>
      </c>
      <c r="D471" s="123">
        <v>10000000</v>
      </c>
      <c r="E471" s="32">
        <v>0</v>
      </c>
      <c r="F471" s="32">
        <v>0</v>
      </c>
      <c r="G471" s="32">
        <f t="shared" si="27"/>
        <v>10000000</v>
      </c>
      <c r="H471" s="31"/>
    </row>
    <row r="472" spans="1:8" x14ac:dyDescent="0.3">
      <c r="A472" s="31">
        <v>11</v>
      </c>
      <c r="B472" s="121">
        <v>22020601</v>
      </c>
      <c r="C472" s="122" t="s">
        <v>226</v>
      </c>
      <c r="D472" s="123">
        <v>120000000</v>
      </c>
      <c r="E472" s="32">
        <v>0</v>
      </c>
      <c r="F472" s="32">
        <v>25000000</v>
      </c>
      <c r="G472" s="32">
        <f t="shared" si="27"/>
        <v>145000000</v>
      </c>
      <c r="H472" s="31" t="s">
        <v>240</v>
      </c>
    </row>
    <row r="473" spans="1:8" x14ac:dyDescent="0.3">
      <c r="A473" s="31">
        <v>12</v>
      </c>
      <c r="B473" s="121">
        <v>22020605</v>
      </c>
      <c r="C473" s="122" t="s">
        <v>238</v>
      </c>
      <c r="D473" s="123">
        <v>210000000</v>
      </c>
      <c r="E473" s="32">
        <v>0</v>
      </c>
      <c r="F473" s="32">
        <f>20640000+13000000</f>
        <v>33640000</v>
      </c>
      <c r="G473" s="32">
        <f t="shared" si="27"/>
        <v>243640000</v>
      </c>
      <c r="H473" s="31" t="s">
        <v>240</v>
      </c>
    </row>
    <row r="474" spans="1:8" x14ac:dyDescent="0.3">
      <c r="A474" s="31">
        <v>13</v>
      </c>
      <c r="B474" s="121">
        <v>22021001</v>
      </c>
      <c r="C474" s="122" t="s">
        <v>229</v>
      </c>
      <c r="D474" s="123">
        <v>1500000</v>
      </c>
      <c r="E474" s="32">
        <v>0</v>
      </c>
      <c r="F474" s="32">
        <v>0</v>
      </c>
      <c r="G474" s="32">
        <f t="shared" si="27"/>
        <v>1500000</v>
      </c>
      <c r="H474" s="31"/>
    </row>
    <row r="475" spans="1:8" x14ac:dyDescent="0.3">
      <c r="A475" s="589" t="s">
        <v>23</v>
      </c>
      <c r="B475" s="589"/>
      <c r="C475" s="589"/>
      <c r="D475" s="119">
        <f t="shared" ref="D475:E475" si="28">SUM(D462:D474)</f>
        <v>362000000</v>
      </c>
      <c r="E475" s="119">
        <f t="shared" si="28"/>
        <v>0</v>
      </c>
      <c r="F475" s="119">
        <f>SUM(F462:F474)</f>
        <v>58640000</v>
      </c>
      <c r="G475" s="119">
        <f>SUM(G462:G474)</f>
        <v>420640000</v>
      </c>
      <c r="H475" s="31"/>
    </row>
    <row r="487" spans="1:8" x14ac:dyDescent="0.3">
      <c r="A487" s="587" t="s">
        <v>213</v>
      </c>
      <c r="B487" s="587"/>
      <c r="C487" s="587"/>
      <c r="D487" s="587"/>
      <c r="E487" s="587"/>
      <c r="F487" s="587"/>
      <c r="G487" s="587"/>
      <c r="H487" s="587"/>
    </row>
    <row r="488" spans="1:8" x14ac:dyDescent="0.3">
      <c r="A488" s="587" t="s">
        <v>1159</v>
      </c>
      <c r="B488" s="587"/>
      <c r="C488" s="587"/>
      <c r="D488" s="587"/>
      <c r="E488" s="587"/>
      <c r="F488" s="587"/>
      <c r="G488" s="587"/>
      <c r="H488" s="587"/>
    </row>
    <row r="489" spans="1:8" x14ac:dyDescent="0.3">
      <c r="A489" s="587" t="s">
        <v>215</v>
      </c>
      <c r="B489" s="587"/>
      <c r="C489" s="587"/>
      <c r="D489" s="587"/>
      <c r="E489" s="587"/>
      <c r="F489" s="587"/>
      <c r="G489" s="587"/>
      <c r="H489" s="587"/>
    </row>
    <row r="490" spans="1:8" x14ac:dyDescent="0.3">
      <c r="A490" s="336"/>
      <c r="B490" s="336"/>
      <c r="C490" s="336"/>
      <c r="D490" s="336"/>
      <c r="E490" s="336"/>
      <c r="F490" s="336"/>
      <c r="G490" s="336"/>
    </row>
    <row r="491" spans="1:8" x14ac:dyDescent="0.3">
      <c r="A491" s="33" t="s">
        <v>646</v>
      </c>
      <c r="B491" s="33"/>
      <c r="C491" s="33"/>
      <c r="D491" s="33"/>
      <c r="E491" s="33"/>
      <c r="F491" s="33"/>
      <c r="G491" s="34"/>
    </row>
    <row r="492" spans="1:8" x14ac:dyDescent="0.3">
      <c r="A492" s="34"/>
      <c r="B492" s="336"/>
      <c r="C492" s="34"/>
      <c r="D492" s="34"/>
      <c r="E492" s="34"/>
      <c r="F492" s="34"/>
      <c r="G492" s="34"/>
    </row>
    <row r="493" spans="1:8" x14ac:dyDescent="0.3">
      <c r="A493" s="337" t="s">
        <v>647</v>
      </c>
      <c r="B493" s="337"/>
      <c r="C493" s="337"/>
      <c r="D493" s="34"/>
      <c r="E493" s="34"/>
      <c r="F493" s="34"/>
      <c r="G493" s="34"/>
    </row>
    <row r="494" spans="1:8" ht="24" x14ac:dyDescent="0.3">
      <c r="A494" s="142" t="s">
        <v>0</v>
      </c>
      <c r="B494" s="142" t="s">
        <v>20</v>
      </c>
      <c r="C494" s="142" t="s">
        <v>21</v>
      </c>
      <c r="D494" s="142" t="s">
        <v>214</v>
      </c>
      <c r="E494" s="142" t="s">
        <v>53</v>
      </c>
      <c r="F494" s="142" t="s">
        <v>22</v>
      </c>
      <c r="G494" s="142" t="s">
        <v>1160</v>
      </c>
      <c r="H494" s="142" t="s">
        <v>44</v>
      </c>
    </row>
    <row r="495" spans="1:8" x14ac:dyDescent="0.3">
      <c r="A495" s="31">
        <v>1</v>
      </c>
      <c r="B495" s="121">
        <v>22020102</v>
      </c>
      <c r="C495" s="122" t="s">
        <v>216</v>
      </c>
      <c r="D495" s="123">
        <v>1750000</v>
      </c>
      <c r="E495" s="148">
        <v>0</v>
      </c>
      <c r="F495" s="32">
        <v>2400000</v>
      </c>
      <c r="G495" s="32">
        <f t="shared" ref="G495:G507" si="29">D495-E495+F495</f>
        <v>4150000</v>
      </c>
      <c r="H495" s="32" t="s">
        <v>240</v>
      </c>
    </row>
    <row r="496" spans="1:8" x14ac:dyDescent="0.3">
      <c r="A496" s="31">
        <v>2</v>
      </c>
      <c r="B496" s="121">
        <v>22020201</v>
      </c>
      <c r="C496" s="122" t="s">
        <v>217</v>
      </c>
      <c r="D496" s="123">
        <v>200000</v>
      </c>
      <c r="E496" s="148">
        <v>0</v>
      </c>
      <c r="F496" s="32"/>
      <c r="G496" s="32">
        <f t="shared" si="29"/>
        <v>200000</v>
      </c>
      <c r="H496" s="32"/>
    </row>
    <row r="497" spans="1:9" x14ac:dyDescent="0.3">
      <c r="A497" s="31">
        <v>3</v>
      </c>
      <c r="B497" s="121">
        <v>22020202</v>
      </c>
      <c r="C497" s="122" t="s">
        <v>218</v>
      </c>
      <c r="D497" s="123">
        <v>80000</v>
      </c>
      <c r="E497" s="148">
        <v>0</v>
      </c>
      <c r="F497" s="32"/>
      <c r="G497" s="32">
        <f t="shared" si="29"/>
        <v>80000</v>
      </c>
      <c r="H497" s="32"/>
    </row>
    <row r="498" spans="1:9" x14ac:dyDescent="0.3">
      <c r="A498" s="31">
        <v>4</v>
      </c>
      <c r="B498" s="121">
        <v>22020301</v>
      </c>
      <c r="C498" s="122" t="s">
        <v>220</v>
      </c>
      <c r="D498" s="123">
        <v>600000</v>
      </c>
      <c r="E498" s="148">
        <v>0</v>
      </c>
      <c r="F498" s="32"/>
      <c r="G498" s="32">
        <f t="shared" si="29"/>
        <v>600000</v>
      </c>
      <c r="H498" s="32"/>
    </row>
    <row r="499" spans="1:9" x14ac:dyDescent="0.3">
      <c r="A499" s="31">
        <v>5</v>
      </c>
      <c r="B499" s="121">
        <v>22020305</v>
      </c>
      <c r="C499" s="122" t="s">
        <v>233</v>
      </c>
      <c r="D499" s="123">
        <v>200000</v>
      </c>
      <c r="E499" s="148">
        <v>0</v>
      </c>
      <c r="F499" s="32"/>
      <c r="G499" s="32">
        <f t="shared" si="29"/>
        <v>200000</v>
      </c>
      <c r="H499" s="32"/>
    </row>
    <row r="500" spans="1:9" ht="20.399999999999999" x14ac:dyDescent="0.3">
      <c r="A500" s="31">
        <v>6</v>
      </c>
      <c r="B500" s="121">
        <v>22020401</v>
      </c>
      <c r="C500" s="122" t="s">
        <v>222</v>
      </c>
      <c r="D500" s="123">
        <v>500000</v>
      </c>
      <c r="E500" s="148">
        <v>0</v>
      </c>
      <c r="F500" s="32"/>
      <c r="G500" s="32">
        <f t="shared" si="29"/>
        <v>500000</v>
      </c>
      <c r="H500" s="32"/>
    </row>
    <row r="501" spans="1:9" x14ac:dyDescent="0.3">
      <c r="A501" s="31">
        <v>7</v>
      </c>
      <c r="B501" s="121">
        <v>22020402</v>
      </c>
      <c r="C501" s="122" t="s">
        <v>223</v>
      </c>
      <c r="D501" s="123">
        <v>400000</v>
      </c>
      <c r="E501" s="148">
        <v>0</v>
      </c>
      <c r="F501" s="32"/>
      <c r="G501" s="32">
        <f t="shared" si="29"/>
        <v>400000</v>
      </c>
      <c r="H501" s="32"/>
    </row>
    <row r="502" spans="1:9" x14ac:dyDescent="0.3">
      <c r="A502" s="31">
        <v>8</v>
      </c>
      <c r="B502" s="121">
        <v>22020501</v>
      </c>
      <c r="C502" s="122" t="s">
        <v>225</v>
      </c>
      <c r="D502" s="123">
        <v>400000</v>
      </c>
      <c r="E502" s="148">
        <v>0</v>
      </c>
      <c r="F502" s="32"/>
      <c r="G502" s="32">
        <f t="shared" si="29"/>
        <v>400000</v>
      </c>
      <c r="H502" s="32"/>
    </row>
    <row r="503" spans="1:9" x14ac:dyDescent="0.3">
      <c r="A503" s="31">
        <v>9</v>
      </c>
      <c r="B503" s="121">
        <v>22020707</v>
      </c>
      <c r="C503" s="122" t="s">
        <v>258</v>
      </c>
      <c r="D503" s="123">
        <v>150000</v>
      </c>
      <c r="E503" s="148">
        <v>0</v>
      </c>
      <c r="F503" s="32"/>
      <c r="G503" s="32">
        <f t="shared" si="29"/>
        <v>150000</v>
      </c>
      <c r="H503" s="32"/>
    </row>
    <row r="504" spans="1:9" x14ac:dyDescent="0.3">
      <c r="A504" s="31">
        <v>10</v>
      </c>
      <c r="B504" s="121">
        <v>22021001</v>
      </c>
      <c r="C504" s="122" t="s">
        <v>229</v>
      </c>
      <c r="D504" s="123">
        <v>150000</v>
      </c>
      <c r="E504" s="148">
        <v>0</v>
      </c>
      <c r="F504" s="32"/>
      <c r="G504" s="32">
        <f t="shared" si="29"/>
        <v>150000</v>
      </c>
      <c r="H504" s="32"/>
    </row>
    <row r="505" spans="1:9" x14ac:dyDescent="0.3">
      <c r="A505" s="31">
        <v>11</v>
      </c>
      <c r="B505" s="121">
        <v>22021003</v>
      </c>
      <c r="C505" s="122" t="s">
        <v>259</v>
      </c>
      <c r="D505" s="123">
        <v>100000</v>
      </c>
      <c r="E505" s="148">
        <v>0</v>
      </c>
      <c r="F505" s="32"/>
      <c r="G505" s="32">
        <f t="shared" si="29"/>
        <v>100000</v>
      </c>
      <c r="H505" s="32"/>
    </row>
    <row r="506" spans="1:9" x14ac:dyDescent="0.3">
      <c r="A506" s="31">
        <v>12</v>
      </c>
      <c r="B506" s="121">
        <v>22021007</v>
      </c>
      <c r="C506" s="122" t="s">
        <v>230</v>
      </c>
      <c r="D506" s="123">
        <v>270000</v>
      </c>
      <c r="E506" s="148">
        <v>0</v>
      </c>
      <c r="F506" s="32"/>
      <c r="G506" s="32">
        <f t="shared" si="29"/>
        <v>270000</v>
      </c>
      <c r="H506" s="32"/>
    </row>
    <row r="507" spans="1:9" x14ac:dyDescent="0.3">
      <c r="A507" s="31">
        <v>13</v>
      </c>
      <c r="B507" s="121">
        <v>22021060</v>
      </c>
      <c r="C507" s="122" t="s">
        <v>231</v>
      </c>
      <c r="D507" s="141">
        <v>0</v>
      </c>
      <c r="E507" s="148">
        <v>0</v>
      </c>
      <c r="F507" s="32">
        <v>1500000</v>
      </c>
      <c r="G507" s="32">
        <f t="shared" si="29"/>
        <v>1500000</v>
      </c>
      <c r="H507" s="32" t="s">
        <v>240</v>
      </c>
      <c r="I507" s="3"/>
    </row>
    <row r="508" spans="1:9" x14ac:dyDescent="0.3">
      <c r="A508" s="588" t="s">
        <v>23</v>
      </c>
      <c r="B508" s="588"/>
      <c r="C508" s="588"/>
      <c r="D508" s="119">
        <f t="shared" ref="D508:F508" si="30">SUM(D495:D507)</f>
        <v>4800000</v>
      </c>
      <c r="E508" s="117">
        <f t="shared" si="30"/>
        <v>0</v>
      </c>
      <c r="F508" s="119">
        <f t="shared" si="30"/>
        <v>3900000</v>
      </c>
      <c r="G508" s="119">
        <f>SUM(G495:G507)</f>
        <v>8700000</v>
      </c>
      <c r="H508" s="338"/>
    </row>
    <row r="520" spans="1:8" x14ac:dyDescent="0.3">
      <c r="A520" s="587" t="s">
        <v>213</v>
      </c>
      <c r="B520" s="587"/>
      <c r="C520" s="587"/>
      <c r="D520" s="587"/>
      <c r="E520" s="587"/>
      <c r="F520" s="587"/>
      <c r="G520" s="587"/>
      <c r="H520" s="587"/>
    </row>
    <row r="521" spans="1:8" x14ac:dyDescent="0.3">
      <c r="A521" s="587" t="s">
        <v>1159</v>
      </c>
      <c r="B521" s="587"/>
      <c r="C521" s="587"/>
      <c r="D521" s="587"/>
      <c r="E521" s="587"/>
      <c r="F521" s="587"/>
      <c r="G521" s="587"/>
      <c r="H521" s="587"/>
    </row>
    <row r="522" spans="1:8" x14ac:dyDescent="0.3">
      <c r="A522" s="587" t="s">
        <v>215</v>
      </c>
      <c r="B522" s="587"/>
      <c r="C522" s="587"/>
      <c r="D522" s="587"/>
      <c r="E522" s="587"/>
      <c r="F522" s="587"/>
      <c r="G522" s="587"/>
      <c r="H522" s="587"/>
    </row>
    <row r="523" spans="1:8" x14ac:dyDescent="0.3">
      <c r="A523" s="336"/>
      <c r="B523" s="336"/>
      <c r="C523" s="336"/>
      <c r="D523" s="336"/>
      <c r="E523" s="336"/>
      <c r="F523" s="336"/>
      <c r="G523" s="336"/>
    </row>
    <row r="524" spans="1:8" x14ac:dyDescent="0.3">
      <c r="A524" s="33" t="s">
        <v>648</v>
      </c>
      <c r="B524" s="33"/>
      <c r="C524" s="33"/>
      <c r="D524" s="33"/>
      <c r="E524" s="33"/>
      <c r="F524" s="33"/>
      <c r="G524" s="34"/>
    </row>
    <row r="525" spans="1:8" x14ac:dyDescent="0.3">
      <c r="A525" s="34"/>
      <c r="B525" s="336"/>
      <c r="C525" s="34"/>
      <c r="D525" s="34"/>
      <c r="E525" s="34"/>
      <c r="F525" s="34"/>
      <c r="G525" s="34"/>
    </row>
    <row r="526" spans="1:8" x14ac:dyDescent="0.3">
      <c r="A526" s="337" t="s">
        <v>649</v>
      </c>
      <c r="B526" s="337"/>
      <c r="C526" s="337"/>
      <c r="D526" s="34"/>
      <c r="E526" s="34"/>
      <c r="F526" s="34"/>
      <c r="G526" s="34"/>
    </row>
    <row r="527" spans="1:8" ht="24" x14ac:dyDescent="0.3">
      <c r="A527" s="142" t="s">
        <v>0</v>
      </c>
      <c r="B527" s="142" t="s">
        <v>20</v>
      </c>
      <c r="C527" s="142" t="s">
        <v>21</v>
      </c>
      <c r="D527" s="142" t="s">
        <v>214</v>
      </c>
      <c r="E527" s="142" t="s">
        <v>53</v>
      </c>
      <c r="F527" s="142" t="s">
        <v>22</v>
      </c>
      <c r="G527" s="142" t="s">
        <v>1160</v>
      </c>
      <c r="H527" s="142" t="s">
        <v>44</v>
      </c>
    </row>
    <row r="528" spans="1:8" x14ac:dyDescent="0.3">
      <c r="A528" s="31">
        <v>1</v>
      </c>
      <c r="B528" s="121">
        <v>22020102</v>
      </c>
      <c r="C528" s="122" t="s">
        <v>216</v>
      </c>
      <c r="D528" s="123">
        <v>40000000</v>
      </c>
      <c r="E528" s="52">
        <v>0</v>
      </c>
      <c r="F528" s="52">
        <v>0</v>
      </c>
      <c r="G528" s="32">
        <f t="shared" ref="G528:G549" si="31">D528-E528+F528</f>
        <v>40000000</v>
      </c>
      <c r="H528" s="31"/>
    </row>
    <row r="529" spans="1:8" x14ac:dyDescent="0.3">
      <c r="A529" s="31">
        <v>2</v>
      </c>
      <c r="B529" s="121">
        <v>22020104</v>
      </c>
      <c r="C529" s="122" t="s">
        <v>260</v>
      </c>
      <c r="D529" s="123">
        <v>80000000</v>
      </c>
      <c r="E529" s="52">
        <v>0</v>
      </c>
      <c r="F529" s="52">
        <v>0</v>
      </c>
      <c r="G529" s="32">
        <f t="shared" si="31"/>
        <v>80000000</v>
      </c>
      <c r="H529" s="31"/>
    </row>
    <row r="530" spans="1:8" x14ac:dyDescent="0.3">
      <c r="A530" s="31">
        <v>3</v>
      </c>
      <c r="B530" s="121">
        <v>22020201</v>
      </c>
      <c r="C530" s="122" t="s">
        <v>217</v>
      </c>
      <c r="D530" s="123">
        <v>128000000</v>
      </c>
      <c r="E530" s="52">
        <v>0</v>
      </c>
      <c r="F530" s="52">
        <v>0</v>
      </c>
      <c r="G530" s="32">
        <f t="shared" si="31"/>
        <v>128000000</v>
      </c>
      <c r="H530" s="31"/>
    </row>
    <row r="531" spans="1:8" x14ac:dyDescent="0.3">
      <c r="A531" s="31">
        <v>4</v>
      </c>
      <c r="B531" s="121">
        <v>22020202</v>
      </c>
      <c r="C531" s="122" t="s">
        <v>218</v>
      </c>
      <c r="D531" s="123">
        <v>5000000</v>
      </c>
      <c r="E531" s="52">
        <v>0</v>
      </c>
      <c r="F531" s="52">
        <v>0</v>
      </c>
      <c r="G531" s="32">
        <f t="shared" si="31"/>
        <v>5000000</v>
      </c>
      <c r="H531" s="31"/>
    </row>
    <row r="532" spans="1:8" x14ac:dyDescent="0.3">
      <c r="A532" s="31">
        <v>5</v>
      </c>
      <c r="B532" s="121">
        <v>22020209</v>
      </c>
      <c r="C532" s="122" t="s">
        <v>261</v>
      </c>
      <c r="D532" s="143">
        <v>0</v>
      </c>
      <c r="E532" s="52">
        <v>0</v>
      </c>
      <c r="F532" s="52">
        <v>0</v>
      </c>
      <c r="G532" s="32">
        <f t="shared" si="31"/>
        <v>0</v>
      </c>
      <c r="H532" s="31"/>
    </row>
    <row r="533" spans="1:8" x14ac:dyDescent="0.3">
      <c r="A533" s="31">
        <v>6</v>
      </c>
      <c r="B533" s="121">
        <v>22020301</v>
      </c>
      <c r="C533" s="122" t="s">
        <v>220</v>
      </c>
      <c r="D533" s="123">
        <v>30000000</v>
      </c>
      <c r="E533" s="52">
        <v>0</v>
      </c>
      <c r="F533" s="52">
        <v>15000000</v>
      </c>
      <c r="G533" s="32">
        <f t="shared" si="31"/>
        <v>45000000</v>
      </c>
      <c r="H533" s="32" t="s">
        <v>240</v>
      </c>
    </row>
    <row r="534" spans="1:8" x14ac:dyDescent="0.3">
      <c r="A534" s="31">
        <v>7</v>
      </c>
      <c r="B534" s="121">
        <v>22020306</v>
      </c>
      <c r="C534" s="122" t="s">
        <v>221</v>
      </c>
      <c r="D534" s="123">
        <v>39000000</v>
      </c>
      <c r="E534" s="52">
        <v>0</v>
      </c>
      <c r="F534" s="52">
        <v>0</v>
      </c>
      <c r="G534" s="32">
        <f t="shared" si="31"/>
        <v>39000000</v>
      </c>
      <c r="H534" s="31"/>
    </row>
    <row r="535" spans="1:8" ht="20.399999999999999" x14ac:dyDescent="0.3">
      <c r="A535" s="31">
        <v>8</v>
      </c>
      <c r="B535" s="121">
        <v>22020401</v>
      </c>
      <c r="C535" s="122" t="s">
        <v>222</v>
      </c>
      <c r="D535" s="123">
        <v>7000000</v>
      </c>
      <c r="E535" s="52">
        <v>0</v>
      </c>
      <c r="F535" s="52">
        <v>0</v>
      </c>
      <c r="G535" s="32">
        <f t="shared" si="31"/>
        <v>7000000</v>
      </c>
      <c r="H535" s="31"/>
    </row>
    <row r="536" spans="1:8" x14ac:dyDescent="0.3">
      <c r="A536" s="31">
        <v>9</v>
      </c>
      <c r="B536" s="121">
        <v>22020402</v>
      </c>
      <c r="C536" s="122" t="s">
        <v>223</v>
      </c>
      <c r="D536" s="123">
        <v>7000000</v>
      </c>
      <c r="E536" s="52">
        <v>0</v>
      </c>
      <c r="F536" s="52">
        <v>0</v>
      </c>
      <c r="G536" s="32">
        <f t="shared" si="31"/>
        <v>7000000</v>
      </c>
      <c r="H536" s="31"/>
    </row>
    <row r="537" spans="1:8" ht="20.399999999999999" x14ac:dyDescent="0.3">
      <c r="A537" s="31">
        <v>10</v>
      </c>
      <c r="B537" s="121">
        <v>22020403</v>
      </c>
      <c r="C537" s="122" t="s">
        <v>247</v>
      </c>
      <c r="D537" s="123">
        <v>14000000</v>
      </c>
      <c r="E537" s="52">
        <v>0</v>
      </c>
      <c r="F537" s="52">
        <v>0</v>
      </c>
      <c r="G537" s="32">
        <f t="shared" si="31"/>
        <v>14000000</v>
      </c>
      <c r="H537" s="31"/>
    </row>
    <row r="538" spans="1:8" x14ac:dyDescent="0.3">
      <c r="A538" s="31">
        <v>11</v>
      </c>
      <c r="B538" s="121">
        <v>22020415</v>
      </c>
      <c r="C538" s="122" t="s">
        <v>262</v>
      </c>
      <c r="D538" s="123">
        <v>0</v>
      </c>
      <c r="E538" s="52">
        <v>0</v>
      </c>
      <c r="F538" s="52">
        <v>0</v>
      </c>
      <c r="G538" s="32">
        <f t="shared" si="31"/>
        <v>0</v>
      </c>
      <c r="H538" s="31"/>
    </row>
    <row r="539" spans="1:8" x14ac:dyDescent="0.3">
      <c r="A539" s="31">
        <v>12</v>
      </c>
      <c r="B539" s="121">
        <v>22020501</v>
      </c>
      <c r="C539" s="122" t="s">
        <v>225</v>
      </c>
      <c r="D539" s="123">
        <v>14000000</v>
      </c>
      <c r="E539" s="52">
        <v>0</v>
      </c>
      <c r="F539" s="52">
        <v>0</v>
      </c>
      <c r="G539" s="32">
        <f t="shared" si="31"/>
        <v>14000000</v>
      </c>
      <c r="H539" s="31"/>
    </row>
    <row r="540" spans="1:8" ht="15" customHeight="1" x14ac:dyDescent="0.3">
      <c r="A540" s="31">
        <v>13</v>
      </c>
      <c r="B540" s="121">
        <v>22020503</v>
      </c>
      <c r="C540" s="122" t="s">
        <v>236</v>
      </c>
      <c r="D540" s="123">
        <v>25000000</v>
      </c>
      <c r="E540" s="52">
        <v>0</v>
      </c>
      <c r="F540" s="52">
        <v>15000000</v>
      </c>
      <c r="G540" s="32">
        <f t="shared" si="31"/>
        <v>40000000</v>
      </c>
      <c r="H540" s="32" t="s">
        <v>240</v>
      </c>
    </row>
    <row r="541" spans="1:8" x14ac:dyDescent="0.3">
      <c r="A541" s="31">
        <v>14</v>
      </c>
      <c r="B541" s="121">
        <v>22020602</v>
      </c>
      <c r="C541" s="122" t="s">
        <v>263</v>
      </c>
      <c r="D541" s="123">
        <v>20000000</v>
      </c>
      <c r="E541" s="52">
        <v>0</v>
      </c>
      <c r="F541" s="52">
        <v>12000000</v>
      </c>
      <c r="G541" s="32">
        <f t="shared" si="31"/>
        <v>32000000</v>
      </c>
      <c r="H541" s="32" t="s">
        <v>240</v>
      </c>
    </row>
    <row r="542" spans="1:8" x14ac:dyDescent="0.3">
      <c r="A542" s="31">
        <v>15</v>
      </c>
      <c r="B542" s="121">
        <v>22020604</v>
      </c>
      <c r="C542" s="122" t="s">
        <v>251</v>
      </c>
      <c r="D542" s="123">
        <v>3950000000</v>
      </c>
      <c r="E542" s="52">
        <v>0</v>
      </c>
      <c r="F542" s="32">
        <v>2000000000</v>
      </c>
      <c r="G542" s="32">
        <f t="shared" si="31"/>
        <v>5950000000</v>
      </c>
      <c r="H542" s="32" t="s">
        <v>240</v>
      </c>
    </row>
    <row r="543" spans="1:8" ht="21.6" x14ac:dyDescent="0.3">
      <c r="A543" s="31">
        <v>16</v>
      </c>
      <c r="B543" s="121">
        <v>22020701</v>
      </c>
      <c r="C543" s="122" t="s">
        <v>264</v>
      </c>
      <c r="D543" s="123">
        <v>190000000</v>
      </c>
      <c r="E543" s="52">
        <v>0</v>
      </c>
      <c r="F543" s="52">
        <v>85000000</v>
      </c>
      <c r="G543" s="32">
        <f t="shared" si="31"/>
        <v>275000000</v>
      </c>
      <c r="H543" s="248" t="s">
        <v>423</v>
      </c>
    </row>
    <row r="544" spans="1:8" x14ac:dyDescent="0.3">
      <c r="A544" s="31">
        <v>17</v>
      </c>
      <c r="B544" s="121">
        <v>22020711</v>
      </c>
      <c r="C544" s="122" t="s">
        <v>227</v>
      </c>
      <c r="D544" s="123">
        <v>2000000</v>
      </c>
      <c r="E544" s="52">
        <v>0</v>
      </c>
      <c r="F544" s="52">
        <v>0</v>
      </c>
      <c r="G544" s="32">
        <f t="shared" si="31"/>
        <v>2000000</v>
      </c>
      <c r="H544" s="31"/>
    </row>
    <row r="545" spans="1:8" x14ac:dyDescent="0.3">
      <c r="A545" s="31">
        <v>18</v>
      </c>
      <c r="B545" s="121">
        <v>22020712</v>
      </c>
      <c r="C545" s="122" t="s">
        <v>242</v>
      </c>
      <c r="D545" s="123">
        <v>2000000</v>
      </c>
      <c r="E545" s="52">
        <v>0</v>
      </c>
      <c r="F545" s="52">
        <v>0</v>
      </c>
      <c r="G545" s="32">
        <f t="shared" si="31"/>
        <v>2000000</v>
      </c>
      <c r="H545" s="31"/>
    </row>
    <row r="546" spans="1:8" x14ac:dyDescent="0.3">
      <c r="A546" s="31">
        <v>19</v>
      </c>
      <c r="B546" s="121">
        <v>22020803</v>
      </c>
      <c r="C546" s="122" t="s">
        <v>239</v>
      </c>
      <c r="D546" s="123">
        <v>50000000</v>
      </c>
      <c r="E546" s="52">
        <v>0</v>
      </c>
      <c r="F546" s="52">
        <v>20000000</v>
      </c>
      <c r="G546" s="32">
        <f t="shared" si="31"/>
        <v>70000000</v>
      </c>
      <c r="H546" s="31" t="s">
        <v>240</v>
      </c>
    </row>
    <row r="547" spans="1:8" x14ac:dyDescent="0.3">
      <c r="A547" s="31">
        <v>20</v>
      </c>
      <c r="B547" s="121">
        <v>22020902</v>
      </c>
      <c r="C547" s="122" t="s">
        <v>265</v>
      </c>
      <c r="D547" s="123">
        <v>200000000</v>
      </c>
      <c r="E547" s="52">
        <v>0</v>
      </c>
      <c r="F547" s="52">
        <v>100000000</v>
      </c>
      <c r="G547" s="32">
        <f t="shared" si="31"/>
        <v>300000000</v>
      </c>
      <c r="H547" s="31" t="s">
        <v>240</v>
      </c>
    </row>
    <row r="548" spans="1:8" x14ac:dyDescent="0.3">
      <c r="A548" s="31">
        <v>21</v>
      </c>
      <c r="B548" s="121">
        <v>22021001</v>
      </c>
      <c r="C548" s="122" t="s">
        <v>229</v>
      </c>
      <c r="D548" s="123">
        <v>2000000</v>
      </c>
      <c r="E548" s="52">
        <v>0</v>
      </c>
      <c r="F548" s="52">
        <v>0</v>
      </c>
      <c r="G548" s="32">
        <f t="shared" si="31"/>
        <v>2000000</v>
      </c>
      <c r="H548" s="31"/>
    </row>
    <row r="549" spans="1:8" x14ac:dyDescent="0.3">
      <c r="A549" s="31">
        <v>22</v>
      </c>
      <c r="B549" s="121">
        <v>22021002</v>
      </c>
      <c r="C549" s="122" t="s">
        <v>243</v>
      </c>
      <c r="D549" s="123">
        <v>110000000</v>
      </c>
      <c r="E549" s="52">
        <v>0</v>
      </c>
      <c r="F549" s="52">
        <v>40000000</v>
      </c>
      <c r="G549" s="32">
        <f t="shared" si="31"/>
        <v>150000000</v>
      </c>
      <c r="H549" s="32" t="s">
        <v>240</v>
      </c>
    </row>
    <row r="550" spans="1:8" ht="24" x14ac:dyDescent="0.3">
      <c r="A550" s="142" t="s">
        <v>0</v>
      </c>
      <c r="B550" s="142" t="s">
        <v>20</v>
      </c>
      <c r="C550" s="142" t="s">
        <v>21</v>
      </c>
      <c r="D550" s="142" t="s">
        <v>214</v>
      </c>
      <c r="E550" s="142" t="s">
        <v>53</v>
      </c>
      <c r="F550" s="142" t="s">
        <v>22</v>
      </c>
      <c r="G550" s="142" t="s">
        <v>1160</v>
      </c>
      <c r="H550" s="142" t="s">
        <v>44</v>
      </c>
    </row>
    <row r="551" spans="1:8" x14ac:dyDescent="0.3">
      <c r="A551" s="31">
        <v>23</v>
      </c>
      <c r="B551" s="121">
        <v>22021003</v>
      </c>
      <c r="C551" s="122" t="s">
        <v>259</v>
      </c>
      <c r="D551" s="123">
        <v>3000000</v>
      </c>
      <c r="E551" s="52">
        <v>0</v>
      </c>
      <c r="F551" s="52">
        <v>0</v>
      </c>
      <c r="G551" s="32">
        <f t="shared" ref="G551:G556" si="32">D551-E551+F551</f>
        <v>3000000</v>
      </c>
      <c r="H551" s="31"/>
    </row>
    <row r="552" spans="1:8" x14ac:dyDescent="0.3">
      <c r="A552" s="31">
        <v>24</v>
      </c>
      <c r="B552" s="121">
        <v>22021007</v>
      </c>
      <c r="C552" s="122" t="s">
        <v>230</v>
      </c>
      <c r="D552" s="123">
        <v>53000000</v>
      </c>
      <c r="E552" s="52">
        <v>0</v>
      </c>
      <c r="F552" s="52">
        <v>27000000</v>
      </c>
      <c r="G552" s="32">
        <f t="shared" si="32"/>
        <v>80000000</v>
      </c>
      <c r="H552" s="32" t="s">
        <v>240</v>
      </c>
    </row>
    <row r="553" spans="1:8" x14ac:dyDescent="0.3">
      <c r="A553" s="31">
        <v>25</v>
      </c>
      <c r="B553" s="121">
        <v>22021008</v>
      </c>
      <c r="C553" s="122" t="s">
        <v>249</v>
      </c>
      <c r="D553" s="123">
        <v>15000000</v>
      </c>
      <c r="E553" s="52">
        <v>0</v>
      </c>
      <c r="F553" s="52">
        <v>0</v>
      </c>
      <c r="G553" s="32">
        <f t="shared" si="32"/>
        <v>15000000</v>
      </c>
      <c r="H553" s="31"/>
    </row>
    <row r="554" spans="1:8" x14ac:dyDescent="0.3">
      <c r="A554" s="31">
        <v>26</v>
      </c>
      <c r="B554" s="121">
        <v>22021041</v>
      </c>
      <c r="C554" s="122" t="s">
        <v>266</v>
      </c>
      <c r="D554" s="123">
        <v>950000000</v>
      </c>
      <c r="E554" s="52">
        <v>950000000</v>
      </c>
      <c r="F554" s="52">
        <v>0</v>
      </c>
      <c r="G554" s="32">
        <f t="shared" si="32"/>
        <v>0</v>
      </c>
      <c r="H554" s="32" t="s">
        <v>339</v>
      </c>
    </row>
    <row r="555" spans="1:8" x14ac:dyDescent="0.3">
      <c r="A555" s="31">
        <v>27</v>
      </c>
      <c r="B555" s="121">
        <v>22021060</v>
      </c>
      <c r="C555" s="122" t="s">
        <v>231</v>
      </c>
      <c r="D555" s="123">
        <v>36000000</v>
      </c>
      <c r="E555" s="52">
        <v>0</v>
      </c>
      <c r="F555" s="52">
        <v>0</v>
      </c>
      <c r="G555" s="32">
        <f t="shared" si="32"/>
        <v>36000000</v>
      </c>
      <c r="H555" s="32" t="s">
        <v>240</v>
      </c>
    </row>
    <row r="556" spans="1:8" x14ac:dyDescent="0.3">
      <c r="A556" s="31">
        <v>28</v>
      </c>
      <c r="B556" s="121">
        <v>22040105</v>
      </c>
      <c r="C556" s="122" t="s">
        <v>680</v>
      </c>
      <c r="D556" s="123">
        <v>102000000</v>
      </c>
      <c r="E556" s="52">
        <v>0</v>
      </c>
      <c r="F556" s="52">
        <v>0</v>
      </c>
      <c r="G556" s="32">
        <f t="shared" si="32"/>
        <v>102000000</v>
      </c>
      <c r="H556" s="32" t="s">
        <v>240</v>
      </c>
    </row>
    <row r="557" spans="1:8" x14ac:dyDescent="0.3">
      <c r="A557" s="589" t="s">
        <v>23</v>
      </c>
      <c r="B557" s="589"/>
      <c r="C557" s="589"/>
      <c r="D557" s="119">
        <f>SUM(D528:D556)</f>
        <v>6074000000</v>
      </c>
      <c r="E557" s="117">
        <f>SUM(E528:E556)</f>
        <v>950000000</v>
      </c>
      <c r="F557" s="119">
        <f>SUM(F528:F556)</f>
        <v>2314000000</v>
      </c>
      <c r="G557" s="119">
        <f>SUM(G528:G556)</f>
        <v>7438000000</v>
      </c>
      <c r="H557" s="31"/>
    </row>
    <row r="585" spans="1:8" x14ac:dyDescent="0.3">
      <c r="A585" s="587" t="s">
        <v>213</v>
      </c>
      <c r="B585" s="587"/>
      <c r="C585" s="587"/>
      <c r="D585" s="587"/>
      <c r="E585" s="587"/>
      <c r="F585" s="587"/>
      <c r="G585" s="587"/>
      <c r="H585" s="587"/>
    </row>
    <row r="586" spans="1:8" x14ac:dyDescent="0.3">
      <c r="A586" s="587" t="s">
        <v>1159</v>
      </c>
      <c r="B586" s="587"/>
      <c r="C586" s="587"/>
      <c r="D586" s="587"/>
      <c r="E586" s="587"/>
      <c r="F586" s="587"/>
      <c r="G586" s="587"/>
      <c r="H586" s="587"/>
    </row>
    <row r="587" spans="1:8" x14ac:dyDescent="0.3">
      <c r="A587" s="587" t="s">
        <v>215</v>
      </c>
      <c r="B587" s="587"/>
      <c r="C587" s="587"/>
      <c r="D587" s="587"/>
      <c r="E587" s="587"/>
      <c r="F587" s="587"/>
      <c r="G587" s="587"/>
      <c r="H587" s="587"/>
    </row>
    <row r="588" spans="1:8" x14ac:dyDescent="0.3">
      <c r="A588" s="336"/>
      <c r="B588" s="336"/>
      <c r="C588" s="336"/>
      <c r="D588" s="336"/>
      <c r="E588" s="336"/>
      <c r="F588" s="336"/>
      <c r="G588" s="336"/>
    </row>
    <row r="589" spans="1:8" x14ac:dyDescent="0.3">
      <c r="A589" s="33" t="s">
        <v>650</v>
      </c>
      <c r="B589" s="33"/>
      <c r="C589" s="33"/>
      <c r="D589" s="33"/>
      <c r="E589" s="33"/>
      <c r="F589" s="33"/>
      <c r="G589" s="34"/>
    </row>
    <row r="590" spans="1:8" x14ac:dyDescent="0.3">
      <c r="A590" s="34"/>
      <c r="B590" s="336"/>
      <c r="C590" s="34"/>
      <c r="D590" s="34"/>
      <c r="E590" s="34"/>
      <c r="F590" s="34"/>
      <c r="G590" s="34"/>
    </row>
    <row r="591" spans="1:8" x14ac:dyDescent="0.3">
      <c r="A591" s="337" t="s">
        <v>651</v>
      </c>
      <c r="B591" s="337"/>
      <c r="C591" s="337"/>
      <c r="D591" s="34"/>
      <c r="E591" s="34"/>
      <c r="F591" s="34"/>
      <c r="G591" s="34"/>
    </row>
    <row r="592" spans="1:8" ht="24" x14ac:dyDescent="0.3">
      <c r="A592" s="142" t="s">
        <v>0</v>
      </c>
      <c r="B592" s="142" t="s">
        <v>20</v>
      </c>
      <c r="C592" s="142" t="s">
        <v>21</v>
      </c>
      <c r="D592" s="142" t="s">
        <v>214</v>
      </c>
      <c r="E592" s="142" t="s">
        <v>53</v>
      </c>
      <c r="F592" s="142" t="s">
        <v>22</v>
      </c>
      <c r="G592" s="142" t="s">
        <v>1160</v>
      </c>
      <c r="H592" s="142" t="s">
        <v>44</v>
      </c>
    </row>
    <row r="593" spans="1:8" x14ac:dyDescent="0.3">
      <c r="A593" s="31">
        <v>1</v>
      </c>
      <c r="B593" s="121">
        <v>22020101</v>
      </c>
      <c r="C593" s="122" t="s">
        <v>288</v>
      </c>
      <c r="D593" s="123">
        <v>10000000</v>
      </c>
      <c r="E593" s="52">
        <v>0</v>
      </c>
      <c r="F593" s="52">
        <v>0</v>
      </c>
      <c r="G593" s="32">
        <f t="shared" ref="G593:G609" si="33">D593-E593+F593</f>
        <v>10000000</v>
      </c>
      <c r="H593" s="31"/>
    </row>
    <row r="594" spans="1:8" x14ac:dyDescent="0.3">
      <c r="A594" s="31">
        <v>2</v>
      </c>
      <c r="B594" s="121">
        <v>22020102</v>
      </c>
      <c r="C594" s="122" t="s">
        <v>216</v>
      </c>
      <c r="D594" s="123">
        <v>10000000</v>
      </c>
      <c r="E594" s="52">
        <v>0</v>
      </c>
      <c r="F594" s="52">
        <v>0</v>
      </c>
      <c r="G594" s="32">
        <f t="shared" si="33"/>
        <v>10000000</v>
      </c>
      <c r="H594" s="31"/>
    </row>
    <row r="595" spans="1:8" x14ac:dyDescent="0.3">
      <c r="A595" s="31">
        <v>3</v>
      </c>
      <c r="B595" s="121">
        <v>22020201</v>
      </c>
      <c r="C595" s="122" t="s">
        <v>217</v>
      </c>
      <c r="D595" s="123">
        <v>850000</v>
      </c>
      <c r="E595" s="52">
        <v>0</v>
      </c>
      <c r="F595" s="52">
        <v>0</v>
      </c>
      <c r="G595" s="32">
        <f t="shared" si="33"/>
        <v>850000</v>
      </c>
      <c r="H595" s="31"/>
    </row>
    <row r="596" spans="1:8" x14ac:dyDescent="0.3">
      <c r="A596" s="31">
        <v>4</v>
      </c>
      <c r="B596" s="121">
        <v>22020202</v>
      </c>
      <c r="C596" s="122" t="s">
        <v>218</v>
      </c>
      <c r="D596" s="123">
        <v>850000</v>
      </c>
      <c r="E596" s="52">
        <v>0</v>
      </c>
      <c r="F596" s="52">
        <v>0</v>
      </c>
      <c r="G596" s="32">
        <f t="shared" si="33"/>
        <v>850000</v>
      </c>
      <c r="H596" s="31"/>
    </row>
    <row r="597" spans="1:8" x14ac:dyDescent="0.3">
      <c r="A597" s="31">
        <v>5</v>
      </c>
      <c r="B597" s="121">
        <v>22020301</v>
      </c>
      <c r="C597" s="122" t="s">
        <v>220</v>
      </c>
      <c r="D597" s="123">
        <v>4000000</v>
      </c>
      <c r="E597" s="52">
        <v>0</v>
      </c>
      <c r="F597" s="52">
        <v>0</v>
      </c>
      <c r="G597" s="32">
        <f t="shared" si="33"/>
        <v>4000000</v>
      </c>
      <c r="H597" s="31"/>
    </row>
    <row r="598" spans="1:8" x14ac:dyDescent="0.3">
      <c r="A598" s="31">
        <v>6</v>
      </c>
      <c r="B598" s="121">
        <v>22020305</v>
      </c>
      <c r="C598" s="122" t="s">
        <v>233</v>
      </c>
      <c r="D598" s="123">
        <v>1200000</v>
      </c>
      <c r="E598" s="52">
        <v>0</v>
      </c>
      <c r="F598" s="52">
        <v>0</v>
      </c>
      <c r="G598" s="32">
        <f t="shared" si="33"/>
        <v>1200000</v>
      </c>
      <c r="H598" s="31"/>
    </row>
    <row r="599" spans="1:8" ht="20.399999999999999" x14ac:dyDescent="0.3">
      <c r="A599" s="31">
        <v>7</v>
      </c>
      <c r="B599" s="121">
        <v>22020401</v>
      </c>
      <c r="C599" s="122" t="s">
        <v>222</v>
      </c>
      <c r="D599" s="123">
        <v>3000000</v>
      </c>
      <c r="E599" s="52">
        <v>0</v>
      </c>
      <c r="F599" s="52">
        <v>0</v>
      </c>
      <c r="G599" s="32">
        <f t="shared" si="33"/>
        <v>3000000</v>
      </c>
      <c r="H599" s="31"/>
    </row>
    <row r="600" spans="1:8" x14ac:dyDescent="0.3">
      <c r="A600" s="31">
        <v>8</v>
      </c>
      <c r="B600" s="121">
        <v>22020402</v>
      </c>
      <c r="C600" s="122" t="s">
        <v>223</v>
      </c>
      <c r="D600" s="123">
        <v>2000000</v>
      </c>
      <c r="E600" s="52">
        <v>0</v>
      </c>
      <c r="F600" s="52">
        <v>0</v>
      </c>
      <c r="G600" s="32">
        <f t="shared" si="33"/>
        <v>2000000</v>
      </c>
      <c r="H600" s="31"/>
    </row>
    <row r="601" spans="1:8" x14ac:dyDescent="0.3">
      <c r="A601" s="31">
        <v>9</v>
      </c>
      <c r="B601" s="121">
        <v>22020406</v>
      </c>
      <c r="C601" s="122" t="s">
        <v>224</v>
      </c>
      <c r="D601" s="123">
        <v>40000000</v>
      </c>
      <c r="E601" s="52">
        <v>0</v>
      </c>
      <c r="F601" s="52">
        <v>0</v>
      </c>
      <c r="G601" s="32">
        <f t="shared" si="33"/>
        <v>40000000</v>
      </c>
      <c r="H601" s="31"/>
    </row>
    <row r="602" spans="1:8" x14ac:dyDescent="0.3">
      <c r="A602" s="31">
        <v>10</v>
      </c>
      <c r="B602" s="121">
        <v>22020501</v>
      </c>
      <c r="C602" s="122" t="s">
        <v>225</v>
      </c>
      <c r="D602" s="123">
        <v>3200000</v>
      </c>
      <c r="E602" s="52">
        <v>0</v>
      </c>
      <c r="F602" s="52">
        <v>0</v>
      </c>
      <c r="G602" s="32">
        <f t="shared" si="33"/>
        <v>3200000</v>
      </c>
      <c r="H602" s="31"/>
    </row>
    <row r="603" spans="1:8" x14ac:dyDescent="0.3">
      <c r="A603" s="31">
        <v>11</v>
      </c>
      <c r="B603" s="121">
        <v>22020712</v>
      </c>
      <c r="C603" s="122" t="s">
        <v>242</v>
      </c>
      <c r="D603" s="123">
        <v>10000000</v>
      </c>
      <c r="E603" s="52">
        <v>0</v>
      </c>
      <c r="F603" s="52">
        <v>20000000</v>
      </c>
      <c r="G603" s="32">
        <f t="shared" si="33"/>
        <v>30000000</v>
      </c>
      <c r="H603" s="32" t="s">
        <v>240</v>
      </c>
    </row>
    <row r="604" spans="1:8" x14ac:dyDescent="0.3">
      <c r="A604" s="31">
        <v>12</v>
      </c>
      <c r="B604" s="121">
        <v>22021001</v>
      </c>
      <c r="C604" s="122" t="s">
        <v>229</v>
      </c>
      <c r="D604" s="123">
        <v>2000000</v>
      </c>
      <c r="E604" s="52">
        <v>0</v>
      </c>
      <c r="F604" s="52">
        <v>0</v>
      </c>
      <c r="G604" s="32">
        <f t="shared" si="33"/>
        <v>2000000</v>
      </c>
      <c r="H604" s="31"/>
    </row>
    <row r="605" spans="1:8" x14ac:dyDescent="0.3">
      <c r="A605" s="31">
        <v>13</v>
      </c>
      <c r="B605" s="121">
        <v>22021007</v>
      </c>
      <c r="C605" s="122" t="s">
        <v>230</v>
      </c>
      <c r="D605" s="123">
        <v>1900000</v>
      </c>
      <c r="E605" s="52">
        <v>0</v>
      </c>
      <c r="F605" s="52">
        <v>0</v>
      </c>
      <c r="G605" s="32">
        <f t="shared" si="33"/>
        <v>1900000</v>
      </c>
      <c r="H605" s="31"/>
    </row>
    <row r="606" spans="1:8" x14ac:dyDescent="0.3">
      <c r="A606" s="31">
        <v>14</v>
      </c>
      <c r="B606" s="121">
        <v>22060101</v>
      </c>
      <c r="C606" s="122" t="s">
        <v>538</v>
      </c>
      <c r="D606" s="123">
        <v>121979870.01000001</v>
      </c>
      <c r="E606" s="52">
        <v>0</v>
      </c>
      <c r="F606" s="52">
        <v>0</v>
      </c>
      <c r="G606" s="32">
        <f t="shared" si="33"/>
        <v>121979870.01000001</v>
      </c>
      <c r="H606" s="31"/>
    </row>
    <row r="607" spans="1:8" x14ac:dyDescent="0.3">
      <c r="A607" s="31">
        <v>15</v>
      </c>
      <c r="B607" s="121">
        <v>22060201</v>
      </c>
      <c r="C607" s="122" t="s">
        <v>539</v>
      </c>
      <c r="D607" s="123">
        <v>7428409234.0600004</v>
      </c>
      <c r="E607" s="52">
        <v>0</v>
      </c>
      <c r="F607" s="52">
        <v>0</v>
      </c>
      <c r="G607" s="32">
        <f t="shared" si="33"/>
        <v>7428409234.0600004</v>
      </c>
      <c r="H607" s="31"/>
    </row>
    <row r="608" spans="1:8" x14ac:dyDescent="0.3">
      <c r="A608" s="31">
        <v>16</v>
      </c>
      <c r="B608" s="121">
        <v>22060301</v>
      </c>
      <c r="C608" s="122" t="s">
        <v>540</v>
      </c>
      <c r="D608" s="123">
        <v>365938566.92000002</v>
      </c>
      <c r="E608" s="52">
        <v>0</v>
      </c>
      <c r="F608" s="52">
        <v>0</v>
      </c>
      <c r="G608" s="32">
        <f t="shared" si="33"/>
        <v>365938566.92000002</v>
      </c>
      <c r="H608" s="31"/>
    </row>
    <row r="609" spans="1:8" x14ac:dyDescent="0.3">
      <c r="A609" s="31">
        <v>17</v>
      </c>
      <c r="B609" s="121">
        <v>22060401</v>
      </c>
      <c r="C609" s="122" t="s">
        <v>541</v>
      </c>
      <c r="D609" s="123">
        <v>5955357329.0100002</v>
      </c>
      <c r="E609" s="52">
        <v>0</v>
      </c>
      <c r="F609" s="52">
        <v>0</v>
      </c>
      <c r="G609" s="32">
        <f t="shared" si="33"/>
        <v>5955357329.0100002</v>
      </c>
      <c r="H609" s="31"/>
    </row>
    <row r="610" spans="1:8" x14ac:dyDescent="0.3">
      <c r="A610" s="589" t="s">
        <v>23</v>
      </c>
      <c r="B610" s="589"/>
      <c r="C610" s="589"/>
      <c r="D610" s="119">
        <f>SUM(D583:D609)</f>
        <v>13960685000</v>
      </c>
      <c r="E610" s="117">
        <f>SUM(E583:E609)</f>
        <v>0</v>
      </c>
      <c r="F610" s="119">
        <f>SUM(F583:F609)</f>
        <v>20000000</v>
      </c>
      <c r="G610" s="119">
        <f>SUM(G593:G609)</f>
        <v>13980685000</v>
      </c>
      <c r="H610" s="31"/>
    </row>
    <row r="616" spans="1:8" x14ac:dyDescent="0.3">
      <c r="A616" s="587" t="s">
        <v>213</v>
      </c>
      <c r="B616" s="587"/>
      <c r="C616" s="587"/>
      <c r="D616" s="587"/>
      <c r="E616" s="587"/>
      <c r="F616" s="587"/>
      <c r="G616" s="587"/>
      <c r="H616" s="587"/>
    </row>
    <row r="617" spans="1:8" x14ac:dyDescent="0.3">
      <c r="A617" s="587" t="s">
        <v>1159</v>
      </c>
      <c r="B617" s="587"/>
      <c r="C617" s="587"/>
      <c r="D617" s="587"/>
      <c r="E617" s="587"/>
      <c r="F617" s="587"/>
      <c r="G617" s="587"/>
      <c r="H617" s="587"/>
    </row>
    <row r="618" spans="1:8" x14ac:dyDescent="0.3">
      <c r="A618" s="587" t="s">
        <v>215</v>
      </c>
      <c r="B618" s="587"/>
      <c r="C618" s="587"/>
      <c r="D618" s="587"/>
      <c r="E618" s="587"/>
      <c r="F618" s="587"/>
      <c r="G618" s="587"/>
      <c r="H618" s="587"/>
    </row>
    <row r="619" spans="1:8" x14ac:dyDescent="0.3">
      <c r="A619" s="336"/>
      <c r="B619" s="336"/>
      <c r="C619" s="336"/>
      <c r="D619" s="336"/>
      <c r="E619" s="336"/>
      <c r="F619" s="336"/>
      <c r="G619" s="336"/>
    </row>
    <row r="620" spans="1:8" x14ac:dyDescent="0.3">
      <c r="A620" s="33" t="s">
        <v>652</v>
      </c>
      <c r="B620" s="33"/>
      <c r="C620" s="33"/>
      <c r="D620" s="33"/>
      <c r="E620" s="33"/>
      <c r="F620" s="33"/>
      <c r="G620" s="34"/>
    </row>
    <row r="621" spans="1:8" x14ac:dyDescent="0.3">
      <c r="A621" s="34"/>
      <c r="B621" s="336"/>
      <c r="C621" s="34"/>
      <c r="D621" s="34"/>
      <c r="E621" s="34"/>
      <c r="F621" s="34"/>
      <c r="G621" s="34"/>
    </row>
    <row r="622" spans="1:8" x14ac:dyDescent="0.3">
      <c r="A622" s="337" t="s">
        <v>653</v>
      </c>
      <c r="B622" s="337"/>
      <c r="C622" s="337"/>
      <c r="D622" s="34"/>
      <c r="E622" s="34"/>
      <c r="F622" s="34"/>
      <c r="G622" s="34"/>
    </row>
    <row r="623" spans="1:8" ht="26.4" customHeight="1" x14ac:dyDescent="0.3">
      <c r="A623" s="142" t="s">
        <v>0</v>
      </c>
      <c r="B623" s="142" t="s">
        <v>20</v>
      </c>
      <c r="C623" s="142" t="s">
        <v>21</v>
      </c>
      <c r="D623" s="142" t="s">
        <v>214</v>
      </c>
      <c r="E623" s="142" t="s">
        <v>53</v>
      </c>
      <c r="F623" s="142" t="s">
        <v>22</v>
      </c>
      <c r="G623" s="142" t="s">
        <v>1160</v>
      </c>
      <c r="H623" s="142" t="s">
        <v>44</v>
      </c>
    </row>
    <row r="624" spans="1:8" x14ac:dyDescent="0.3">
      <c r="A624" s="116">
        <v>1</v>
      </c>
      <c r="B624" s="116">
        <v>22020102</v>
      </c>
      <c r="C624" s="86" t="s">
        <v>216</v>
      </c>
      <c r="D624" s="118">
        <v>44920000</v>
      </c>
      <c r="E624" s="52">
        <v>0</v>
      </c>
      <c r="F624" s="52">
        <v>5000000</v>
      </c>
      <c r="G624" s="32">
        <f t="shared" ref="G624:G644" si="34">D624-E624+F624</f>
        <v>49920000</v>
      </c>
      <c r="H624" s="32" t="s">
        <v>240</v>
      </c>
    </row>
    <row r="625" spans="1:8" x14ac:dyDescent="0.3">
      <c r="A625" s="116">
        <v>2</v>
      </c>
      <c r="B625" s="116">
        <v>22020201</v>
      </c>
      <c r="C625" s="86" t="s">
        <v>217</v>
      </c>
      <c r="D625" s="118">
        <v>10920000</v>
      </c>
      <c r="E625" s="52">
        <v>0</v>
      </c>
      <c r="F625" s="52">
        <v>5000000</v>
      </c>
      <c r="G625" s="32">
        <f t="shared" si="34"/>
        <v>15920000</v>
      </c>
      <c r="H625" s="32" t="s">
        <v>240</v>
      </c>
    </row>
    <row r="626" spans="1:8" x14ac:dyDescent="0.3">
      <c r="A626" s="116">
        <v>3</v>
      </c>
      <c r="B626" s="116">
        <v>22020202</v>
      </c>
      <c r="C626" s="86" t="s">
        <v>218</v>
      </c>
      <c r="D626" s="118">
        <v>8640000</v>
      </c>
      <c r="E626" s="52">
        <v>0</v>
      </c>
      <c r="F626" s="52">
        <v>0</v>
      </c>
      <c r="G626" s="32">
        <f t="shared" si="34"/>
        <v>8640000</v>
      </c>
      <c r="H626" s="32"/>
    </row>
    <row r="627" spans="1:8" x14ac:dyDescent="0.3">
      <c r="A627" s="116">
        <v>4</v>
      </c>
      <c r="B627" s="116">
        <v>22020203</v>
      </c>
      <c r="C627" s="86" t="s">
        <v>219</v>
      </c>
      <c r="D627" s="118">
        <v>10000000</v>
      </c>
      <c r="E627" s="52">
        <v>0</v>
      </c>
      <c r="F627" s="52">
        <v>0</v>
      </c>
      <c r="G627" s="32">
        <f t="shared" si="34"/>
        <v>10000000</v>
      </c>
      <c r="H627" s="32"/>
    </row>
    <row r="628" spans="1:8" x14ac:dyDescent="0.3">
      <c r="A628" s="116">
        <v>5</v>
      </c>
      <c r="B628" s="116">
        <v>22020210</v>
      </c>
      <c r="C628" s="86" t="s">
        <v>232</v>
      </c>
      <c r="D628" s="118">
        <v>206000000</v>
      </c>
      <c r="E628" s="52">
        <v>0</v>
      </c>
      <c r="F628" s="52">
        <v>0</v>
      </c>
      <c r="G628" s="32">
        <f t="shared" si="34"/>
        <v>206000000</v>
      </c>
      <c r="H628" s="32"/>
    </row>
    <row r="629" spans="1:8" x14ac:dyDescent="0.3">
      <c r="A629" s="116">
        <v>6</v>
      </c>
      <c r="B629" s="116">
        <v>22020301</v>
      </c>
      <c r="C629" s="86" t="s">
        <v>220</v>
      </c>
      <c r="D629" s="118">
        <v>52000000</v>
      </c>
      <c r="E629" s="52">
        <v>0</v>
      </c>
      <c r="F629" s="52">
        <v>0</v>
      </c>
      <c r="G629" s="32">
        <f t="shared" si="34"/>
        <v>52000000</v>
      </c>
      <c r="H629" s="32"/>
    </row>
    <row r="630" spans="1:8" x14ac:dyDescent="0.3">
      <c r="A630" s="116">
        <v>7</v>
      </c>
      <c r="B630" s="61">
        <v>22020305</v>
      </c>
      <c r="C630" s="38" t="s">
        <v>233</v>
      </c>
      <c r="D630" s="118">
        <v>8280000</v>
      </c>
      <c r="E630" s="52">
        <v>0</v>
      </c>
      <c r="F630" s="52">
        <v>0</v>
      </c>
      <c r="G630" s="32">
        <f t="shared" si="34"/>
        <v>8280000</v>
      </c>
      <c r="H630" s="32"/>
    </row>
    <row r="631" spans="1:8" ht="21.6" x14ac:dyDescent="0.3">
      <c r="A631" s="116">
        <v>8</v>
      </c>
      <c r="B631" s="61">
        <v>22020312</v>
      </c>
      <c r="C631" s="38" t="s">
        <v>234</v>
      </c>
      <c r="D631" s="118">
        <v>20000000</v>
      </c>
      <c r="E631" s="32"/>
      <c r="F631" s="32">
        <v>20000000</v>
      </c>
      <c r="G631" s="32">
        <f t="shared" si="34"/>
        <v>40000000</v>
      </c>
      <c r="H631" s="32" t="s">
        <v>240</v>
      </c>
    </row>
    <row r="632" spans="1:8" ht="21.6" x14ac:dyDescent="0.3">
      <c r="A632" s="116">
        <v>9</v>
      </c>
      <c r="B632" s="61">
        <v>22020401</v>
      </c>
      <c r="C632" s="38" t="s">
        <v>222</v>
      </c>
      <c r="D632" s="118">
        <v>10282000</v>
      </c>
      <c r="E632" s="52">
        <v>0</v>
      </c>
      <c r="F632" s="52">
        <v>0</v>
      </c>
      <c r="G632" s="32">
        <f t="shared" si="34"/>
        <v>10282000</v>
      </c>
      <c r="H632" s="32"/>
    </row>
    <row r="633" spans="1:8" x14ac:dyDescent="0.3">
      <c r="A633" s="116">
        <v>10</v>
      </c>
      <c r="B633" s="61">
        <v>22020402</v>
      </c>
      <c r="C633" s="38" t="s">
        <v>223</v>
      </c>
      <c r="D633" s="118">
        <v>7680000</v>
      </c>
      <c r="E633" s="52">
        <v>0</v>
      </c>
      <c r="F633" s="52">
        <v>0</v>
      </c>
      <c r="G633" s="32">
        <f t="shared" si="34"/>
        <v>7680000</v>
      </c>
      <c r="H633" s="32"/>
    </row>
    <row r="634" spans="1:8" x14ac:dyDescent="0.3">
      <c r="A634" s="116">
        <v>11</v>
      </c>
      <c r="B634" s="61">
        <v>22020404</v>
      </c>
      <c r="C634" s="38" t="s">
        <v>235</v>
      </c>
      <c r="D634" s="118">
        <v>8000000</v>
      </c>
      <c r="E634" s="52">
        <v>0</v>
      </c>
      <c r="F634" s="52">
        <v>0</v>
      </c>
      <c r="G634" s="32">
        <f t="shared" si="34"/>
        <v>8000000</v>
      </c>
      <c r="H634" s="32"/>
    </row>
    <row r="635" spans="1:8" x14ac:dyDescent="0.3">
      <c r="A635" s="116">
        <v>12</v>
      </c>
      <c r="B635" s="61">
        <v>22020406</v>
      </c>
      <c r="C635" s="38" t="s">
        <v>224</v>
      </c>
      <c r="D635" s="118">
        <v>62400000</v>
      </c>
      <c r="E635" s="52">
        <v>0</v>
      </c>
      <c r="F635" s="52">
        <v>0</v>
      </c>
      <c r="G635" s="32">
        <f t="shared" si="34"/>
        <v>62400000</v>
      </c>
      <c r="H635" s="32"/>
    </row>
    <row r="636" spans="1:8" x14ac:dyDescent="0.3">
      <c r="A636" s="116">
        <v>13</v>
      </c>
      <c r="B636" s="61">
        <v>22020501</v>
      </c>
      <c r="C636" s="38" t="s">
        <v>225</v>
      </c>
      <c r="D636" s="118">
        <v>20318000</v>
      </c>
      <c r="E636" s="52">
        <v>0</v>
      </c>
      <c r="F636" s="52">
        <v>5000000</v>
      </c>
      <c r="G636" s="32">
        <f t="shared" si="34"/>
        <v>25318000</v>
      </c>
      <c r="H636" s="32" t="s">
        <v>240</v>
      </c>
    </row>
    <row r="637" spans="1:8" ht="24.75" customHeight="1" x14ac:dyDescent="0.3">
      <c r="A637" s="116">
        <v>14</v>
      </c>
      <c r="B637" s="61">
        <v>22020503</v>
      </c>
      <c r="C637" s="38" t="s">
        <v>236</v>
      </c>
      <c r="D637" s="118">
        <v>100000000</v>
      </c>
      <c r="E637" s="32"/>
      <c r="F637" s="32">
        <v>47000000</v>
      </c>
      <c r="G637" s="32">
        <f t="shared" si="34"/>
        <v>147000000</v>
      </c>
      <c r="H637" s="32" t="s">
        <v>240</v>
      </c>
    </row>
    <row r="638" spans="1:8" ht="21.6" x14ac:dyDescent="0.3">
      <c r="A638" s="116">
        <v>15</v>
      </c>
      <c r="B638" s="61">
        <v>22020505</v>
      </c>
      <c r="C638" s="38" t="s">
        <v>237</v>
      </c>
      <c r="D638" s="118">
        <v>0</v>
      </c>
      <c r="E638" s="52">
        <v>0</v>
      </c>
      <c r="F638" s="52">
        <v>0</v>
      </c>
      <c r="G638" s="32">
        <f t="shared" si="34"/>
        <v>0</v>
      </c>
      <c r="H638" s="32"/>
    </row>
    <row r="639" spans="1:8" x14ac:dyDescent="0.3">
      <c r="A639" s="116">
        <v>16</v>
      </c>
      <c r="B639" s="61">
        <v>22020601</v>
      </c>
      <c r="C639" s="38" t="s">
        <v>226</v>
      </c>
      <c r="D639" s="118">
        <v>10000000</v>
      </c>
      <c r="E639" s="52">
        <v>0</v>
      </c>
      <c r="F639" s="52">
        <v>0</v>
      </c>
      <c r="G639" s="32">
        <f t="shared" si="34"/>
        <v>10000000</v>
      </c>
      <c r="H639" s="32"/>
    </row>
    <row r="640" spans="1:8" x14ac:dyDescent="0.3">
      <c r="A640" s="116">
        <v>17</v>
      </c>
      <c r="B640" s="61">
        <v>22020605</v>
      </c>
      <c r="C640" s="38" t="s">
        <v>238</v>
      </c>
      <c r="D640" s="118">
        <v>0</v>
      </c>
      <c r="E640" s="52">
        <v>0</v>
      </c>
      <c r="F640" s="52">
        <v>0</v>
      </c>
      <c r="G640" s="32">
        <f t="shared" si="34"/>
        <v>0</v>
      </c>
      <c r="H640" s="32"/>
    </row>
    <row r="641" spans="1:8" x14ac:dyDescent="0.3">
      <c r="A641" s="116">
        <v>18</v>
      </c>
      <c r="B641" s="61">
        <v>22020803</v>
      </c>
      <c r="C641" s="38" t="s">
        <v>239</v>
      </c>
      <c r="D641" s="118">
        <v>6000000</v>
      </c>
      <c r="E641" s="52">
        <v>0</v>
      </c>
      <c r="F641" s="52">
        <v>0</v>
      </c>
      <c r="G641" s="32">
        <f t="shared" si="34"/>
        <v>6000000</v>
      </c>
      <c r="H641" s="32"/>
    </row>
    <row r="642" spans="1:8" x14ac:dyDescent="0.3">
      <c r="A642" s="116">
        <v>19</v>
      </c>
      <c r="B642" s="61">
        <v>22021001</v>
      </c>
      <c r="C642" s="38" t="s">
        <v>229</v>
      </c>
      <c r="D642" s="118">
        <v>4800000</v>
      </c>
      <c r="E642" s="52">
        <v>0</v>
      </c>
      <c r="F642" s="52">
        <v>5000000</v>
      </c>
      <c r="G642" s="32">
        <f t="shared" si="34"/>
        <v>9800000</v>
      </c>
      <c r="H642" s="32" t="s">
        <v>240</v>
      </c>
    </row>
    <row r="643" spans="1:8" x14ac:dyDescent="0.3">
      <c r="A643" s="116">
        <v>20</v>
      </c>
      <c r="B643" s="61">
        <v>22021007</v>
      </c>
      <c r="C643" s="38" t="s">
        <v>230</v>
      </c>
      <c r="D643" s="118">
        <v>12160000</v>
      </c>
      <c r="E643" s="52">
        <v>0</v>
      </c>
      <c r="F643" s="52">
        <v>0</v>
      </c>
      <c r="G643" s="32">
        <f t="shared" si="34"/>
        <v>12160000</v>
      </c>
      <c r="H643" s="32"/>
    </row>
    <row r="644" spans="1:8" x14ac:dyDescent="0.3">
      <c r="A644" s="116">
        <v>21</v>
      </c>
      <c r="B644" s="61">
        <v>22021060</v>
      </c>
      <c r="C644" s="38" t="s">
        <v>231</v>
      </c>
      <c r="D644" s="118">
        <v>38500000</v>
      </c>
      <c r="E644" s="52">
        <v>0</v>
      </c>
      <c r="F644" s="52">
        <v>0</v>
      </c>
      <c r="G644" s="32">
        <f t="shared" si="34"/>
        <v>38500000</v>
      </c>
      <c r="H644" s="32"/>
    </row>
    <row r="645" spans="1:8" x14ac:dyDescent="0.3">
      <c r="A645" s="588" t="s">
        <v>23</v>
      </c>
      <c r="B645" s="588"/>
      <c r="C645" s="588"/>
      <c r="D645" s="119">
        <f>SUM(D624:D644)</f>
        <v>640900000</v>
      </c>
      <c r="E645" s="117">
        <f t="shared" ref="E645:G645" si="35">SUM(E624:E644)</f>
        <v>0</v>
      </c>
      <c r="F645" s="119">
        <f>SUM(F624:F644)</f>
        <v>87000000</v>
      </c>
      <c r="G645" s="119">
        <f t="shared" si="35"/>
        <v>727900000</v>
      </c>
      <c r="H645" s="119"/>
    </row>
    <row r="647" spans="1:8" x14ac:dyDescent="0.3">
      <c r="A647" s="587" t="s">
        <v>213</v>
      </c>
      <c r="B647" s="587"/>
      <c r="C647" s="587"/>
      <c r="D647" s="587"/>
      <c r="E647" s="587"/>
      <c r="F647" s="587"/>
      <c r="G647" s="587"/>
      <c r="H647" s="587"/>
    </row>
    <row r="648" spans="1:8" x14ac:dyDescent="0.3">
      <c r="A648" s="587" t="s">
        <v>1159</v>
      </c>
      <c r="B648" s="587"/>
      <c r="C648" s="587"/>
      <c r="D648" s="587"/>
      <c r="E648" s="587"/>
      <c r="F648" s="587"/>
      <c r="G648" s="587"/>
      <c r="H648" s="587"/>
    </row>
    <row r="649" spans="1:8" x14ac:dyDescent="0.3">
      <c r="A649" s="587" t="s">
        <v>215</v>
      </c>
      <c r="B649" s="587"/>
      <c r="C649" s="587"/>
      <c r="D649" s="587"/>
      <c r="E649" s="587"/>
      <c r="F649" s="587"/>
      <c r="G649" s="587"/>
      <c r="H649" s="587"/>
    </row>
    <row r="650" spans="1:8" x14ac:dyDescent="0.3">
      <c r="A650" s="336"/>
      <c r="B650" s="336"/>
      <c r="C650" s="336"/>
      <c r="D650" s="336"/>
      <c r="E650" s="336"/>
      <c r="F650" s="336"/>
      <c r="G650" s="336"/>
    </row>
    <row r="651" spans="1:8" x14ac:dyDescent="0.3">
      <c r="A651" s="33" t="s">
        <v>654</v>
      </c>
      <c r="B651" s="33"/>
      <c r="C651" s="33"/>
      <c r="D651" s="33"/>
      <c r="E651" s="33"/>
      <c r="F651" s="33"/>
      <c r="G651" s="34"/>
    </row>
    <row r="652" spans="1:8" x14ac:dyDescent="0.3">
      <c r="A652" s="34"/>
      <c r="B652" s="336"/>
      <c r="C652" s="34"/>
      <c r="D652" s="34"/>
      <c r="E652" s="34"/>
      <c r="F652" s="34"/>
      <c r="G652" s="34"/>
    </row>
    <row r="653" spans="1:8" x14ac:dyDescent="0.3">
      <c r="A653" s="337" t="s">
        <v>655</v>
      </c>
      <c r="B653" s="337"/>
      <c r="C653" s="337"/>
      <c r="D653" s="34"/>
      <c r="E653" s="34"/>
      <c r="F653" s="34"/>
      <c r="G653" s="34"/>
    </row>
    <row r="654" spans="1:8" ht="24" x14ac:dyDescent="0.3">
      <c r="A654" s="142" t="s">
        <v>0</v>
      </c>
      <c r="B654" s="142" t="s">
        <v>20</v>
      </c>
      <c r="C654" s="142" t="s">
        <v>21</v>
      </c>
      <c r="D654" s="142" t="s">
        <v>214</v>
      </c>
      <c r="E654" s="142" t="s">
        <v>53</v>
      </c>
      <c r="F654" s="142" t="s">
        <v>22</v>
      </c>
      <c r="G654" s="142" t="s">
        <v>1160</v>
      </c>
      <c r="H654" s="142" t="s">
        <v>44</v>
      </c>
    </row>
    <row r="655" spans="1:8" x14ac:dyDescent="0.3">
      <c r="A655" s="31">
        <v>1</v>
      </c>
      <c r="B655" s="121">
        <v>22020102</v>
      </c>
      <c r="C655" s="122" t="s">
        <v>216</v>
      </c>
      <c r="D655" s="123">
        <v>6000000</v>
      </c>
      <c r="E655" s="32">
        <v>0</v>
      </c>
      <c r="F655" s="32">
        <v>4000000</v>
      </c>
      <c r="G655" s="32">
        <f t="shared" ref="G655:G668" si="36">D655-E655+F655</f>
        <v>10000000</v>
      </c>
      <c r="H655" s="32" t="s">
        <v>240</v>
      </c>
    </row>
    <row r="656" spans="1:8" x14ac:dyDescent="0.3">
      <c r="A656" s="31">
        <v>2</v>
      </c>
      <c r="B656" s="121">
        <v>22020202</v>
      </c>
      <c r="C656" s="122" t="s">
        <v>218</v>
      </c>
      <c r="D656" s="123">
        <v>1000000</v>
      </c>
      <c r="E656" s="32">
        <v>0</v>
      </c>
      <c r="F656" s="32">
        <v>0</v>
      </c>
      <c r="G656" s="32">
        <f t="shared" si="36"/>
        <v>1000000</v>
      </c>
      <c r="H656" s="338"/>
    </row>
    <row r="657" spans="1:8" x14ac:dyDescent="0.3">
      <c r="A657" s="31">
        <v>3</v>
      </c>
      <c r="B657" s="121">
        <v>22020210</v>
      </c>
      <c r="C657" s="122" t="s">
        <v>232</v>
      </c>
      <c r="D657" s="123">
        <v>1000000</v>
      </c>
      <c r="E657" s="32">
        <v>0</v>
      </c>
      <c r="F657" s="32">
        <v>0</v>
      </c>
      <c r="G657" s="32">
        <f t="shared" si="36"/>
        <v>1000000</v>
      </c>
      <c r="H657" s="338"/>
    </row>
    <row r="658" spans="1:8" x14ac:dyDescent="0.3">
      <c r="A658" s="31">
        <v>4</v>
      </c>
      <c r="B658" s="121">
        <v>22020301</v>
      </c>
      <c r="C658" s="122" t="s">
        <v>220</v>
      </c>
      <c r="D658" s="123">
        <v>2025000</v>
      </c>
      <c r="E658" s="32">
        <v>0</v>
      </c>
      <c r="F658" s="32">
        <v>0</v>
      </c>
      <c r="G658" s="32">
        <f t="shared" si="36"/>
        <v>2025000</v>
      </c>
      <c r="H658" s="338"/>
    </row>
    <row r="659" spans="1:8" x14ac:dyDescent="0.3">
      <c r="A659" s="31">
        <v>5</v>
      </c>
      <c r="B659" s="121">
        <v>22020305</v>
      </c>
      <c r="C659" s="122" t="s">
        <v>233</v>
      </c>
      <c r="D659" s="123">
        <v>1500000</v>
      </c>
      <c r="E659" s="32">
        <v>0</v>
      </c>
      <c r="F659" s="32">
        <v>0</v>
      </c>
      <c r="G659" s="32">
        <f t="shared" si="36"/>
        <v>1500000</v>
      </c>
      <c r="H659" s="338"/>
    </row>
    <row r="660" spans="1:8" ht="20.399999999999999" x14ac:dyDescent="0.3">
      <c r="A660" s="31">
        <v>6</v>
      </c>
      <c r="B660" s="121">
        <v>22020401</v>
      </c>
      <c r="C660" s="122" t="s">
        <v>222</v>
      </c>
      <c r="D660" s="123">
        <v>2500000</v>
      </c>
      <c r="E660" s="32">
        <v>0</v>
      </c>
      <c r="F660" s="32">
        <v>0</v>
      </c>
      <c r="G660" s="32">
        <f t="shared" si="36"/>
        <v>2500000</v>
      </c>
      <c r="H660" s="338"/>
    </row>
    <row r="661" spans="1:8" x14ac:dyDescent="0.3">
      <c r="A661" s="31">
        <v>7</v>
      </c>
      <c r="B661" s="121">
        <v>22020402</v>
      </c>
      <c r="C661" s="122" t="s">
        <v>223</v>
      </c>
      <c r="D661" s="123">
        <v>2500000</v>
      </c>
      <c r="E661" s="32">
        <v>0</v>
      </c>
      <c r="F661" s="32">
        <v>0</v>
      </c>
      <c r="G661" s="32">
        <f t="shared" si="36"/>
        <v>2500000</v>
      </c>
      <c r="H661" s="338"/>
    </row>
    <row r="662" spans="1:8" x14ac:dyDescent="0.3">
      <c r="A662" s="31">
        <v>8</v>
      </c>
      <c r="B662" s="121">
        <v>22020501</v>
      </c>
      <c r="C662" s="122" t="s">
        <v>225</v>
      </c>
      <c r="D662" s="123">
        <v>5000000</v>
      </c>
      <c r="E662" s="32">
        <v>0</v>
      </c>
      <c r="F662" s="32">
        <v>0</v>
      </c>
      <c r="G662" s="32">
        <f t="shared" si="36"/>
        <v>5000000</v>
      </c>
      <c r="H662" s="338"/>
    </row>
    <row r="663" spans="1:8" ht="14.25" customHeight="1" x14ac:dyDescent="0.3">
      <c r="A663" s="31">
        <v>9</v>
      </c>
      <c r="B663" s="121">
        <v>22020503</v>
      </c>
      <c r="C663" s="122" t="s">
        <v>236</v>
      </c>
      <c r="D663" s="123">
        <v>4000000</v>
      </c>
      <c r="E663" s="32">
        <v>0</v>
      </c>
      <c r="F663" s="32">
        <v>0</v>
      </c>
      <c r="G663" s="32">
        <f t="shared" si="36"/>
        <v>4000000</v>
      </c>
      <c r="H663" s="338"/>
    </row>
    <row r="664" spans="1:8" x14ac:dyDescent="0.3">
      <c r="A664" s="31">
        <v>10</v>
      </c>
      <c r="B664" s="121">
        <v>22021001</v>
      </c>
      <c r="C664" s="122" t="s">
        <v>229</v>
      </c>
      <c r="D664" s="123">
        <v>2000000</v>
      </c>
      <c r="E664" s="32">
        <v>0</v>
      </c>
      <c r="F664" s="32">
        <v>0</v>
      </c>
      <c r="G664" s="32">
        <f t="shared" si="36"/>
        <v>2000000</v>
      </c>
      <c r="H664" s="338"/>
    </row>
    <row r="665" spans="1:8" x14ac:dyDescent="0.3">
      <c r="A665" s="31">
        <v>11</v>
      </c>
      <c r="B665" s="121">
        <v>22021003</v>
      </c>
      <c r="C665" s="122" t="s">
        <v>259</v>
      </c>
      <c r="D665" s="123">
        <v>1000000</v>
      </c>
      <c r="E665" s="32">
        <v>0</v>
      </c>
      <c r="F665" s="32">
        <v>0</v>
      </c>
      <c r="G665" s="32">
        <f t="shared" si="36"/>
        <v>1000000</v>
      </c>
      <c r="H665" s="338"/>
    </row>
    <row r="666" spans="1:8" x14ac:dyDescent="0.3">
      <c r="A666" s="31">
        <v>12</v>
      </c>
      <c r="B666" s="121">
        <v>22021007</v>
      </c>
      <c r="C666" s="122" t="s">
        <v>230</v>
      </c>
      <c r="D666" s="123">
        <v>1500000</v>
      </c>
      <c r="E666" s="32">
        <v>0</v>
      </c>
      <c r="F666" s="32">
        <v>0</v>
      </c>
      <c r="G666" s="32">
        <f t="shared" si="36"/>
        <v>1500000</v>
      </c>
      <c r="H666" s="338"/>
    </row>
    <row r="667" spans="1:8" x14ac:dyDescent="0.3">
      <c r="A667" s="31">
        <v>13</v>
      </c>
      <c r="B667" s="121">
        <v>22021052</v>
      </c>
      <c r="C667" s="122" t="s">
        <v>252</v>
      </c>
      <c r="D667" s="123">
        <v>1500000</v>
      </c>
      <c r="E667" s="32">
        <v>0</v>
      </c>
      <c r="F667" s="32">
        <v>0</v>
      </c>
      <c r="G667" s="32">
        <f t="shared" si="36"/>
        <v>1500000</v>
      </c>
      <c r="H667" s="338"/>
    </row>
    <row r="668" spans="1:8" x14ac:dyDescent="0.3">
      <c r="A668" s="31">
        <v>14</v>
      </c>
      <c r="B668" s="121">
        <v>22021060</v>
      </c>
      <c r="C668" s="122" t="s">
        <v>231</v>
      </c>
      <c r="D668" s="123">
        <v>7000000</v>
      </c>
      <c r="E668" s="32">
        <v>0</v>
      </c>
      <c r="F668" s="32">
        <v>2000000</v>
      </c>
      <c r="G668" s="32">
        <f t="shared" si="36"/>
        <v>9000000</v>
      </c>
      <c r="H668" s="32" t="s">
        <v>240</v>
      </c>
    </row>
    <row r="669" spans="1:8" x14ac:dyDescent="0.3">
      <c r="A669" s="588" t="s">
        <v>23</v>
      </c>
      <c r="B669" s="588"/>
      <c r="C669" s="588"/>
      <c r="D669" s="119">
        <f>SUM(D655:D668)</f>
        <v>38525000</v>
      </c>
      <c r="E669" s="117">
        <f>SUM(E655:E668)</f>
        <v>0</v>
      </c>
      <c r="F669" s="117">
        <f>SUM(F655:F668)</f>
        <v>6000000</v>
      </c>
      <c r="G669" s="117">
        <f>SUM(G655:G668)</f>
        <v>44525000</v>
      </c>
      <c r="H669" s="119"/>
    </row>
    <row r="680" spans="1:8" x14ac:dyDescent="0.3">
      <c r="A680" s="587" t="s">
        <v>213</v>
      </c>
      <c r="B680" s="587"/>
      <c r="C680" s="587"/>
      <c r="D680" s="587"/>
      <c r="E680" s="587"/>
      <c r="F680" s="587"/>
      <c r="G680" s="587"/>
      <c r="H680" s="587"/>
    </row>
    <row r="681" spans="1:8" x14ac:dyDescent="0.3">
      <c r="A681" s="587" t="s">
        <v>1159</v>
      </c>
      <c r="B681" s="587"/>
      <c r="C681" s="587"/>
      <c r="D681" s="587"/>
      <c r="E681" s="587"/>
      <c r="F681" s="587"/>
      <c r="G681" s="587"/>
      <c r="H681" s="587"/>
    </row>
    <row r="682" spans="1:8" x14ac:dyDescent="0.3">
      <c r="A682" s="587" t="s">
        <v>215</v>
      </c>
      <c r="B682" s="587"/>
      <c r="C682" s="587"/>
      <c r="D682" s="587"/>
      <c r="E682" s="587"/>
      <c r="F682" s="587"/>
      <c r="G682" s="587"/>
      <c r="H682" s="587"/>
    </row>
    <row r="683" spans="1:8" x14ac:dyDescent="0.3">
      <c r="A683" s="336"/>
      <c r="B683" s="336"/>
      <c r="C683" s="336"/>
      <c r="D683" s="336"/>
      <c r="E683" s="336"/>
      <c r="F683" s="336"/>
      <c r="G683" s="336"/>
    </row>
    <row r="684" spans="1:8" x14ac:dyDescent="0.3">
      <c r="A684" s="33" t="s">
        <v>699</v>
      </c>
      <c r="B684" s="33"/>
      <c r="C684" s="33"/>
      <c r="D684" s="33"/>
      <c r="E684" s="33"/>
      <c r="F684" s="33"/>
      <c r="G684" s="34"/>
    </row>
    <row r="685" spans="1:8" x14ac:dyDescent="0.3">
      <c r="A685" s="34"/>
      <c r="B685" s="336"/>
      <c r="C685" s="34"/>
      <c r="D685" s="34"/>
      <c r="E685" s="34"/>
      <c r="F685" s="34"/>
      <c r="G685" s="34"/>
    </row>
    <row r="686" spans="1:8" x14ac:dyDescent="0.3">
      <c r="A686" s="337" t="s">
        <v>700</v>
      </c>
      <c r="B686" s="337"/>
      <c r="C686" s="337"/>
      <c r="D686" s="34"/>
      <c r="E686" s="34"/>
      <c r="F686" s="34"/>
      <c r="G686" s="34"/>
    </row>
    <row r="687" spans="1:8" ht="24" x14ac:dyDescent="0.3">
      <c r="A687" s="142" t="s">
        <v>0</v>
      </c>
      <c r="B687" s="142" t="s">
        <v>20</v>
      </c>
      <c r="C687" s="142" t="s">
        <v>21</v>
      </c>
      <c r="D687" s="142" t="s">
        <v>214</v>
      </c>
      <c r="E687" s="142" t="s">
        <v>53</v>
      </c>
      <c r="F687" s="142" t="s">
        <v>22</v>
      </c>
      <c r="G687" s="142" t="s">
        <v>1160</v>
      </c>
      <c r="H687" s="142" t="s">
        <v>44</v>
      </c>
    </row>
    <row r="688" spans="1:8" x14ac:dyDescent="0.3">
      <c r="A688" s="31">
        <v>1</v>
      </c>
      <c r="B688" s="121">
        <v>22020102</v>
      </c>
      <c r="C688" s="122" t="s">
        <v>216</v>
      </c>
      <c r="D688" s="123">
        <v>4800000</v>
      </c>
      <c r="E688" s="32">
        <v>0</v>
      </c>
      <c r="F688" s="32">
        <v>0</v>
      </c>
      <c r="G688" s="32">
        <f t="shared" ref="G688:G699" si="37">D688-E688+F688</f>
        <v>4800000</v>
      </c>
      <c r="H688" s="31"/>
    </row>
    <row r="689" spans="1:8" x14ac:dyDescent="0.3">
      <c r="A689" s="31">
        <v>2</v>
      </c>
      <c r="B689" s="121">
        <v>22020201</v>
      </c>
      <c r="C689" s="122" t="s">
        <v>217</v>
      </c>
      <c r="D689" s="123">
        <v>360000</v>
      </c>
      <c r="E689" s="32">
        <v>0</v>
      </c>
      <c r="F689" s="32">
        <v>0</v>
      </c>
      <c r="G689" s="32">
        <f t="shared" si="37"/>
        <v>360000</v>
      </c>
      <c r="H689" s="31"/>
    </row>
    <row r="690" spans="1:8" x14ac:dyDescent="0.3">
      <c r="A690" s="31">
        <v>3</v>
      </c>
      <c r="B690" s="121">
        <v>22020202</v>
      </c>
      <c r="C690" s="122" t="s">
        <v>218</v>
      </c>
      <c r="D690" s="123">
        <v>100000</v>
      </c>
      <c r="E690" s="32">
        <v>0</v>
      </c>
      <c r="F690" s="32">
        <v>0</v>
      </c>
      <c r="G690" s="32">
        <f t="shared" si="37"/>
        <v>100000</v>
      </c>
      <c r="H690" s="31"/>
    </row>
    <row r="691" spans="1:8" x14ac:dyDescent="0.3">
      <c r="A691" s="31">
        <v>4</v>
      </c>
      <c r="B691" s="121">
        <v>22020301</v>
      </c>
      <c r="C691" s="122" t="s">
        <v>220</v>
      </c>
      <c r="D691" s="123">
        <v>2000000</v>
      </c>
      <c r="E691" s="32">
        <v>0</v>
      </c>
      <c r="F691" s="32">
        <v>0</v>
      </c>
      <c r="G691" s="32">
        <f t="shared" si="37"/>
        <v>2000000</v>
      </c>
      <c r="H691" s="31"/>
    </row>
    <row r="692" spans="1:8" x14ac:dyDescent="0.3">
      <c r="A692" s="31">
        <v>5</v>
      </c>
      <c r="B692" s="121">
        <v>22020305</v>
      </c>
      <c r="C692" s="122" t="s">
        <v>233</v>
      </c>
      <c r="D692" s="123">
        <v>500000</v>
      </c>
      <c r="E692" s="32">
        <v>0</v>
      </c>
      <c r="F692" s="32">
        <v>0</v>
      </c>
      <c r="G692" s="32">
        <f t="shared" si="37"/>
        <v>500000</v>
      </c>
      <c r="H692" s="31"/>
    </row>
    <row r="693" spans="1:8" ht="20.399999999999999" x14ac:dyDescent="0.3">
      <c r="A693" s="31">
        <v>6</v>
      </c>
      <c r="B693" s="121">
        <v>22020401</v>
      </c>
      <c r="C693" s="122" t="s">
        <v>222</v>
      </c>
      <c r="D693" s="123">
        <v>2000000</v>
      </c>
      <c r="E693" s="32">
        <v>0</v>
      </c>
      <c r="F693" s="32">
        <v>0</v>
      </c>
      <c r="G693" s="32">
        <f t="shared" si="37"/>
        <v>2000000</v>
      </c>
      <c r="H693" s="31"/>
    </row>
    <row r="694" spans="1:8" x14ac:dyDescent="0.3">
      <c r="A694" s="31">
        <v>7</v>
      </c>
      <c r="B694" s="121">
        <v>22020402</v>
      </c>
      <c r="C694" s="122" t="s">
        <v>223</v>
      </c>
      <c r="D694" s="123">
        <v>200000</v>
      </c>
      <c r="E694" s="32">
        <v>0</v>
      </c>
      <c r="F694" s="32">
        <v>0</v>
      </c>
      <c r="G694" s="32">
        <f t="shared" si="37"/>
        <v>200000</v>
      </c>
      <c r="H694" s="31"/>
    </row>
    <row r="695" spans="1:8" x14ac:dyDescent="0.3">
      <c r="A695" s="31">
        <v>8</v>
      </c>
      <c r="B695" s="121">
        <v>22020501</v>
      </c>
      <c r="C695" s="122" t="s">
        <v>225</v>
      </c>
      <c r="D695" s="123">
        <v>4000000</v>
      </c>
      <c r="E695" s="32">
        <v>0</v>
      </c>
      <c r="F695" s="32">
        <v>0</v>
      </c>
      <c r="G695" s="32">
        <f t="shared" si="37"/>
        <v>4000000</v>
      </c>
      <c r="H695" s="31"/>
    </row>
    <row r="696" spans="1:8" ht="13.5" customHeight="1" x14ac:dyDescent="0.3">
      <c r="A696" s="31">
        <v>9</v>
      </c>
      <c r="B696" s="121">
        <v>22020503</v>
      </c>
      <c r="C696" s="122" t="s">
        <v>236</v>
      </c>
      <c r="D696" s="123">
        <v>1000000</v>
      </c>
      <c r="E696" s="32">
        <v>0</v>
      </c>
      <c r="F696" s="32">
        <v>8000000</v>
      </c>
      <c r="G696" s="32">
        <f t="shared" si="37"/>
        <v>9000000</v>
      </c>
      <c r="H696" s="32" t="s">
        <v>240</v>
      </c>
    </row>
    <row r="697" spans="1:8" x14ac:dyDescent="0.3">
      <c r="A697" s="31">
        <v>10</v>
      </c>
      <c r="B697" s="121">
        <v>22021001</v>
      </c>
      <c r="C697" s="122" t="s">
        <v>229</v>
      </c>
      <c r="D697" s="123">
        <v>100000</v>
      </c>
      <c r="E697" s="32">
        <v>0</v>
      </c>
      <c r="F697" s="32">
        <v>0</v>
      </c>
      <c r="G697" s="32">
        <f t="shared" si="37"/>
        <v>100000</v>
      </c>
      <c r="H697" s="31"/>
    </row>
    <row r="698" spans="1:8" x14ac:dyDescent="0.3">
      <c r="A698" s="31">
        <v>11</v>
      </c>
      <c r="B698" s="121">
        <v>22021007</v>
      </c>
      <c r="C698" s="122" t="s">
        <v>230</v>
      </c>
      <c r="D698" s="123">
        <v>378000</v>
      </c>
      <c r="E698" s="32">
        <v>0</v>
      </c>
      <c r="F698" s="32">
        <v>0</v>
      </c>
      <c r="G698" s="32">
        <f t="shared" si="37"/>
        <v>378000</v>
      </c>
      <c r="H698" s="31"/>
    </row>
    <row r="699" spans="1:8" x14ac:dyDescent="0.3">
      <c r="A699" s="31">
        <v>12</v>
      </c>
      <c r="B699" s="121">
        <v>22021060</v>
      </c>
      <c r="C699" s="122" t="s">
        <v>231</v>
      </c>
      <c r="D699" s="123">
        <v>10000000</v>
      </c>
      <c r="E699" s="32">
        <v>0</v>
      </c>
      <c r="F699" s="32">
        <v>8000000</v>
      </c>
      <c r="G699" s="32">
        <f t="shared" si="37"/>
        <v>18000000</v>
      </c>
      <c r="H699" s="32" t="s">
        <v>240</v>
      </c>
    </row>
    <row r="700" spans="1:8" x14ac:dyDescent="0.3">
      <c r="A700" s="589" t="s">
        <v>23</v>
      </c>
      <c r="B700" s="589"/>
      <c r="C700" s="589"/>
      <c r="D700" s="119">
        <f>SUM(D688:D699)</f>
        <v>25438000</v>
      </c>
      <c r="E700" s="117">
        <f t="shared" ref="E700:G700" si="38">SUM(E688:E699)</f>
        <v>0</v>
      </c>
      <c r="F700" s="117">
        <f t="shared" si="38"/>
        <v>16000000</v>
      </c>
      <c r="G700" s="119">
        <f t="shared" si="38"/>
        <v>41438000</v>
      </c>
      <c r="H700" s="31"/>
    </row>
    <row r="713" spans="1:8" x14ac:dyDescent="0.3">
      <c r="A713" s="587" t="s">
        <v>213</v>
      </c>
      <c r="B713" s="587"/>
      <c r="C713" s="587"/>
      <c r="D713" s="587"/>
      <c r="E713" s="587"/>
      <c r="F713" s="587"/>
      <c r="G713" s="587"/>
      <c r="H713" s="587"/>
    </row>
    <row r="714" spans="1:8" x14ac:dyDescent="0.3">
      <c r="A714" s="587" t="s">
        <v>1159</v>
      </c>
      <c r="B714" s="587"/>
      <c r="C714" s="587"/>
      <c r="D714" s="587"/>
      <c r="E714" s="587"/>
      <c r="F714" s="587"/>
      <c r="G714" s="587"/>
      <c r="H714" s="587"/>
    </row>
    <row r="715" spans="1:8" x14ac:dyDescent="0.3">
      <c r="A715" s="587" t="s">
        <v>215</v>
      </c>
      <c r="B715" s="587"/>
      <c r="C715" s="587"/>
      <c r="D715" s="587"/>
      <c r="E715" s="587"/>
      <c r="F715" s="587"/>
      <c r="G715" s="587"/>
      <c r="H715" s="587"/>
    </row>
    <row r="716" spans="1:8" x14ac:dyDescent="0.3">
      <c r="A716" s="336"/>
      <c r="B716" s="336"/>
      <c r="C716" s="336"/>
      <c r="D716" s="336"/>
      <c r="E716" s="336"/>
      <c r="F716" s="336"/>
      <c r="G716" s="336"/>
    </row>
    <row r="717" spans="1:8" x14ac:dyDescent="0.3">
      <c r="A717" s="33" t="s">
        <v>658</v>
      </c>
      <c r="B717" s="33"/>
      <c r="C717" s="33"/>
      <c r="D717" s="33"/>
      <c r="E717" s="33"/>
      <c r="F717" s="33"/>
      <c r="G717" s="34"/>
    </row>
    <row r="718" spans="1:8" x14ac:dyDescent="0.3">
      <c r="A718" s="34"/>
      <c r="B718" s="336"/>
      <c r="C718" s="34"/>
      <c r="D718" s="34"/>
      <c r="E718" s="34"/>
      <c r="F718" s="34"/>
      <c r="G718" s="34"/>
    </row>
    <row r="719" spans="1:8" x14ac:dyDescent="0.3">
      <c r="A719" s="337" t="s">
        <v>659</v>
      </c>
      <c r="B719" s="337"/>
      <c r="C719" s="337"/>
      <c r="D719" s="34"/>
      <c r="E719" s="34"/>
      <c r="F719" s="34"/>
      <c r="G719" s="34"/>
    </row>
    <row r="720" spans="1:8" ht="24" x14ac:dyDescent="0.3">
      <c r="A720" s="142" t="s">
        <v>0</v>
      </c>
      <c r="B720" s="142" t="s">
        <v>20</v>
      </c>
      <c r="C720" s="142" t="s">
        <v>21</v>
      </c>
      <c r="D720" s="142" t="s">
        <v>214</v>
      </c>
      <c r="E720" s="142" t="s">
        <v>53</v>
      </c>
      <c r="F720" s="142" t="s">
        <v>22</v>
      </c>
      <c r="G720" s="142" t="s">
        <v>1160</v>
      </c>
      <c r="H720" s="142" t="s">
        <v>44</v>
      </c>
    </row>
    <row r="721" spans="1:8" x14ac:dyDescent="0.3">
      <c r="A721" s="31">
        <v>1</v>
      </c>
      <c r="B721" s="121">
        <v>22020102</v>
      </c>
      <c r="C721" s="122" t="s">
        <v>216</v>
      </c>
      <c r="D721" s="123">
        <v>1600000</v>
      </c>
      <c r="E721" s="52">
        <v>0</v>
      </c>
      <c r="F721" s="52">
        <v>0</v>
      </c>
      <c r="G721" s="32">
        <f t="shared" ref="G721:G741" si="39">D721-E721+F721</f>
        <v>1600000</v>
      </c>
      <c r="H721" s="32"/>
    </row>
    <row r="722" spans="1:8" x14ac:dyDescent="0.3">
      <c r="A722" s="31">
        <v>2</v>
      </c>
      <c r="B722" s="121">
        <v>22020201</v>
      </c>
      <c r="C722" s="122" t="s">
        <v>217</v>
      </c>
      <c r="D722" s="123">
        <v>300000</v>
      </c>
      <c r="E722" s="52">
        <v>0</v>
      </c>
      <c r="F722" s="52">
        <v>0</v>
      </c>
      <c r="G722" s="32">
        <f t="shared" si="39"/>
        <v>300000</v>
      </c>
      <c r="H722" s="32"/>
    </row>
    <row r="723" spans="1:8" x14ac:dyDescent="0.3">
      <c r="A723" s="31">
        <v>3</v>
      </c>
      <c r="B723" s="121">
        <v>22020202</v>
      </c>
      <c r="C723" s="122" t="s">
        <v>218</v>
      </c>
      <c r="D723" s="123">
        <v>402000</v>
      </c>
      <c r="E723" s="52">
        <v>0</v>
      </c>
      <c r="F723" s="52">
        <v>0</v>
      </c>
      <c r="G723" s="32">
        <f t="shared" si="39"/>
        <v>402000</v>
      </c>
      <c r="H723" s="32"/>
    </row>
    <row r="724" spans="1:8" x14ac:dyDescent="0.3">
      <c r="A724" s="31">
        <v>4</v>
      </c>
      <c r="B724" s="121">
        <v>22020203</v>
      </c>
      <c r="C724" s="122" t="s">
        <v>219</v>
      </c>
      <c r="D724" s="123">
        <v>50000000</v>
      </c>
      <c r="E724" s="52">
        <v>30000000</v>
      </c>
      <c r="F724" s="32"/>
      <c r="G724" s="32">
        <f t="shared" si="39"/>
        <v>20000000</v>
      </c>
      <c r="H724" s="32"/>
    </row>
    <row r="725" spans="1:8" x14ac:dyDescent="0.3">
      <c r="A725" s="31">
        <v>5</v>
      </c>
      <c r="B725" s="121">
        <v>22020210</v>
      </c>
      <c r="C725" s="122" t="s">
        <v>232</v>
      </c>
      <c r="D725" s="123">
        <v>1600000</v>
      </c>
      <c r="E725" s="52">
        <v>0</v>
      </c>
      <c r="F725" s="52">
        <v>0</v>
      </c>
      <c r="G725" s="32">
        <f t="shared" si="39"/>
        <v>1600000</v>
      </c>
      <c r="H725" s="32"/>
    </row>
    <row r="726" spans="1:8" x14ac:dyDescent="0.3">
      <c r="A726" s="31">
        <v>6</v>
      </c>
      <c r="B726" s="121">
        <v>22020301</v>
      </c>
      <c r="C726" s="122" t="s">
        <v>220</v>
      </c>
      <c r="D726" s="123">
        <v>1200500</v>
      </c>
      <c r="E726" s="52">
        <v>0</v>
      </c>
      <c r="F726" s="52">
        <v>0</v>
      </c>
      <c r="G726" s="32">
        <f t="shared" si="39"/>
        <v>1200500</v>
      </c>
      <c r="H726" s="32"/>
    </row>
    <row r="727" spans="1:8" x14ac:dyDescent="0.3">
      <c r="A727" s="31">
        <v>7</v>
      </c>
      <c r="B727" s="121">
        <v>22020305</v>
      </c>
      <c r="C727" s="122" t="s">
        <v>233</v>
      </c>
      <c r="D727" s="123">
        <v>900000</v>
      </c>
      <c r="E727" s="52">
        <v>0</v>
      </c>
      <c r="F727" s="52">
        <v>0</v>
      </c>
      <c r="G727" s="32">
        <f t="shared" si="39"/>
        <v>900000</v>
      </c>
      <c r="H727" s="32"/>
    </row>
    <row r="728" spans="1:8" ht="20.399999999999999" x14ac:dyDescent="0.3">
      <c r="A728" s="31">
        <v>8</v>
      </c>
      <c r="B728" s="121">
        <v>22020401</v>
      </c>
      <c r="C728" s="122" t="s">
        <v>222</v>
      </c>
      <c r="D728" s="123">
        <v>1550000</v>
      </c>
      <c r="E728" s="52">
        <v>0</v>
      </c>
      <c r="F728" s="52">
        <v>0</v>
      </c>
      <c r="G728" s="32">
        <f t="shared" si="39"/>
        <v>1550000</v>
      </c>
      <c r="H728" s="32"/>
    </row>
    <row r="729" spans="1:8" x14ac:dyDescent="0.3">
      <c r="A729" s="31">
        <v>9</v>
      </c>
      <c r="B729" s="121">
        <v>22020402</v>
      </c>
      <c r="C729" s="122" t="s">
        <v>223</v>
      </c>
      <c r="D729" s="123">
        <v>900000</v>
      </c>
      <c r="E729" s="52">
        <v>0</v>
      </c>
      <c r="F729" s="52">
        <v>0</v>
      </c>
      <c r="G729" s="32">
        <f t="shared" si="39"/>
        <v>900000</v>
      </c>
      <c r="H729" s="32"/>
    </row>
    <row r="730" spans="1:8" ht="20.399999999999999" x14ac:dyDescent="0.3">
      <c r="A730" s="31">
        <v>10</v>
      </c>
      <c r="B730" s="121">
        <v>22020403</v>
      </c>
      <c r="C730" s="122" t="s">
        <v>247</v>
      </c>
      <c r="D730" s="123">
        <v>200000</v>
      </c>
      <c r="E730" s="52">
        <v>0</v>
      </c>
      <c r="F730" s="32">
        <v>2000000</v>
      </c>
      <c r="G730" s="32">
        <f t="shared" si="39"/>
        <v>2200000</v>
      </c>
      <c r="H730" s="32" t="s">
        <v>240</v>
      </c>
    </row>
    <row r="731" spans="1:8" x14ac:dyDescent="0.3">
      <c r="A731" s="31">
        <v>11</v>
      </c>
      <c r="B731" s="121">
        <v>22020404</v>
      </c>
      <c r="C731" s="122" t="s">
        <v>235</v>
      </c>
      <c r="D731" s="123">
        <v>1500000</v>
      </c>
      <c r="E731" s="52">
        <v>0</v>
      </c>
      <c r="F731" s="52">
        <v>0</v>
      </c>
      <c r="G731" s="32">
        <f t="shared" si="39"/>
        <v>1500000</v>
      </c>
      <c r="H731" s="32"/>
    </row>
    <row r="732" spans="1:8" x14ac:dyDescent="0.3">
      <c r="A732" s="31">
        <v>12</v>
      </c>
      <c r="B732" s="121">
        <v>22020406</v>
      </c>
      <c r="C732" s="122" t="s">
        <v>224</v>
      </c>
      <c r="D732" s="123">
        <v>300000</v>
      </c>
      <c r="E732" s="52">
        <v>0</v>
      </c>
      <c r="F732" s="52">
        <v>0</v>
      </c>
      <c r="G732" s="32">
        <f t="shared" si="39"/>
        <v>300000</v>
      </c>
      <c r="H732" s="32"/>
    </row>
    <row r="733" spans="1:8" x14ac:dyDescent="0.3">
      <c r="A733" s="31">
        <v>13</v>
      </c>
      <c r="B733" s="121">
        <v>22020501</v>
      </c>
      <c r="C733" s="122" t="s">
        <v>225</v>
      </c>
      <c r="D733" s="123">
        <v>2227000</v>
      </c>
      <c r="E733" s="52">
        <v>0</v>
      </c>
      <c r="F733" s="52">
        <v>0</v>
      </c>
      <c r="G733" s="32">
        <f t="shared" si="39"/>
        <v>2227000</v>
      </c>
      <c r="H733" s="32"/>
    </row>
    <row r="734" spans="1:8" x14ac:dyDescent="0.3">
      <c r="A734" s="31">
        <v>14</v>
      </c>
      <c r="B734" s="121">
        <v>22020503</v>
      </c>
      <c r="C734" s="122" t="s">
        <v>236</v>
      </c>
      <c r="D734" s="123">
        <v>400000</v>
      </c>
      <c r="E734" s="52">
        <v>0</v>
      </c>
      <c r="F734" s="32">
        <v>2000000</v>
      </c>
      <c r="G734" s="32">
        <f t="shared" si="39"/>
        <v>2400000</v>
      </c>
      <c r="H734" s="32" t="s">
        <v>240</v>
      </c>
    </row>
    <row r="735" spans="1:8" ht="20.399999999999999" x14ac:dyDescent="0.3">
      <c r="A735" s="31">
        <v>15</v>
      </c>
      <c r="B735" s="121">
        <v>22020504</v>
      </c>
      <c r="C735" s="122" t="s">
        <v>279</v>
      </c>
      <c r="D735" s="123">
        <v>600000</v>
      </c>
      <c r="E735" s="52">
        <v>0</v>
      </c>
      <c r="F735" s="52">
        <v>0</v>
      </c>
      <c r="G735" s="32">
        <f t="shared" si="39"/>
        <v>600000</v>
      </c>
      <c r="H735" s="32"/>
    </row>
    <row r="736" spans="1:8" ht="20.399999999999999" x14ac:dyDescent="0.3">
      <c r="A736" s="31">
        <v>16</v>
      </c>
      <c r="B736" s="121">
        <v>22020505</v>
      </c>
      <c r="C736" s="122" t="s">
        <v>237</v>
      </c>
      <c r="D736" s="123">
        <v>1000000</v>
      </c>
      <c r="E736" s="52">
        <v>0</v>
      </c>
      <c r="F736" s="52">
        <v>0</v>
      </c>
      <c r="G736" s="32">
        <f t="shared" si="39"/>
        <v>1000000</v>
      </c>
      <c r="H736" s="32"/>
    </row>
    <row r="737" spans="1:8" x14ac:dyDescent="0.3">
      <c r="A737" s="31">
        <v>17</v>
      </c>
      <c r="B737" s="121">
        <v>22020601</v>
      </c>
      <c r="C737" s="122" t="s">
        <v>226</v>
      </c>
      <c r="D737" s="123">
        <v>200000</v>
      </c>
      <c r="E737" s="52">
        <v>0</v>
      </c>
      <c r="F737" s="52">
        <v>0</v>
      </c>
      <c r="G737" s="32">
        <f t="shared" si="39"/>
        <v>200000</v>
      </c>
      <c r="H737" s="32"/>
    </row>
    <row r="738" spans="1:8" x14ac:dyDescent="0.3">
      <c r="A738" s="31">
        <v>18</v>
      </c>
      <c r="B738" s="121">
        <v>22020605</v>
      </c>
      <c r="C738" s="122" t="s">
        <v>238</v>
      </c>
      <c r="D738" s="123">
        <v>1000000</v>
      </c>
      <c r="E738" s="52">
        <v>0</v>
      </c>
      <c r="F738" s="52">
        <v>0</v>
      </c>
      <c r="G738" s="32">
        <f t="shared" si="39"/>
        <v>1000000</v>
      </c>
      <c r="H738" s="32"/>
    </row>
    <row r="739" spans="1:8" x14ac:dyDescent="0.3">
      <c r="A739" s="31">
        <v>19</v>
      </c>
      <c r="B739" s="121">
        <v>22020702</v>
      </c>
      <c r="C739" s="122" t="s">
        <v>277</v>
      </c>
      <c r="D739" s="123">
        <v>800000</v>
      </c>
      <c r="E739" s="52">
        <v>0</v>
      </c>
      <c r="F739" s="52">
        <v>0</v>
      </c>
      <c r="G739" s="32">
        <f t="shared" si="39"/>
        <v>800000</v>
      </c>
      <c r="H739" s="32"/>
    </row>
    <row r="740" spans="1:8" x14ac:dyDescent="0.3">
      <c r="A740" s="31">
        <v>20</v>
      </c>
      <c r="B740" s="121">
        <v>22020712</v>
      </c>
      <c r="C740" s="122" t="s">
        <v>242</v>
      </c>
      <c r="D740" s="123">
        <v>720500</v>
      </c>
      <c r="E740" s="52">
        <v>0</v>
      </c>
      <c r="F740" s="52">
        <v>0</v>
      </c>
      <c r="G740" s="32">
        <f t="shared" si="39"/>
        <v>720500</v>
      </c>
      <c r="H740" s="32"/>
    </row>
    <row r="741" spans="1:8" x14ac:dyDescent="0.3">
      <c r="A741" s="31">
        <v>21</v>
      </c>
      <c r="B741" s="121">
        <v>22020803</v>
      </c>
      <c r="C741" s="122" t="s">
        <v>239</v>
      </c>
      <c r="D741" s="123">
        <v>300000</v>
      </c>
      <c r="E741" s="52">
        <v>0</v>
      </c>
      <c r="F741" s="52">
        <v>0</v>
      </c>
      <c r="G741" s="32">
        <f t="shared" si="39"/>
        <v>300000</v>
      </c>
      <c r="H741" s="32"/>
    </row>
    <row r="742" spans="1:8" ht="24" x14ac:dyDescent="0.3">
      <c r="A742" s="142" t="s">
        <v>0</v>
      </c>
      <c r="B742" s="142" t="s">
        <v>20</v>
      </c>
      <c r="C742" s="142" t="s">
        <v>21</v>
      </c>
      <c r="D742" s="142" t="s">
        <v>214</v>
      </c>
      <c r="E742" s="142" t="s">
        <v>53</v>
      </c>
      <c r="F742" s="142" t="s">
        <v>22</v>
      </c>
      <c r="G742" s="142" t="s">
        <v>1160</v>
      </c>
      <c r="H742" s="142" t="s">
        <v>44</v>
      </c>
    </row>
    <row r="743" spans="1:8" x14ac:dyDescent="0.3">
      <c r="A743" s="31">
        <v>22</v>
      </c>
      <c r="B743" s="121">
        <v>22021001</v>
      </c>
      <c r="C743" s="122" t="s">
        <v>229</v>
      </c>
      <c r="D743" s="123">
        <v>500000</v>
      </c>
      <c r="E743" s="52">
        <v>0</v>
      </c>
      <c r="F743" s="52">
        <v>0</v>
      </c>
      <c r="G743" s="32">
        <f>D743-E743+F743</f>
        <v>500000</v>
      </c>
      <c r="H743" s="32"/>
    </row>
    <row r="744" spans="1:8" x14ac:dyDescent="0.3">
      <c r="A744" s="31">
        <v>23</v>
      </c>
      <c r="B744" s="121">
        <v>22021003</v>
      </c>
      <c r="C744" s="122" t="s">
        <v>259</v>
      </c>
      <c r="D744" s="123">
        <v>500000</v>
      </c>
      <c r="E744" s="52">
        <v>0</v>
      </c>
      <c r="F744" s="32">
        <v>1000000</v>
      </c>
      <c r="G744" s="32">
        <f>D744-E744+F744</f>
        <v>1500000</v>
      </c>
      <c r="H744" s="32" t="s">
        <v>240</v>
      </c>
    </row>
    <row r="745" spans="1:8" x14ac:dyDescent="0.3">
      <c r="A745" s="31">
        <v>24</v>
      </c>
      <c r="B745" s="121">
        <v>22021007</v>
      </c>
      <c r="C745" s="122" t="s">
        <v>230</v>
      </c>
      <c r="D745" s="123">
        <v>700000</v>
      </c>
      <c r="E745" s="52">
        <v>0</v>
      </c>
      <c r="F745" s="52">
        <v>0</v>
      </c>
      <c r="G745" s="32">
        <f>D745-E745+F745</f>
        <v>700000</v>
      </c>
      <c r="H745" s="32"/>
    </row>
    <row r="746" spans="1:8" x14ac:dyDescent="0.3">
      <c r="A746" s="588" t="s">
        <v>23</v>
      </c>
      <c r="B746" s="588"/>
      <c r="C746" s="588"/>
      <c r="D746" s="119">
        <f>SUM(D721:D745)</f>
        <v>69400000</v>
      </c>
      <c r="E746" s="117">
        <f t="shared" ref="E746" si="40">SUM(E721:E745)</f>
        <v>30000000</v>
      </c>
      <c r="F746" s="117">
        <f>SUM(F721:F745)</f>
        <v>5000000</v>
      </c>
      <c r="G746" s="117">
        <f>SUM(G721:G745)</f>
        <v>44400000</v>
      </c>
      <c r="H746" s="117"/>
    </row>
    <row r="777" spans="1:8" x14ac:dyDescent="0.3">
      <c r="A777" s="587" t="s">
        <v>213</v>
      </c>
      <c r="B777" s="587"/>
      <c r="C777" s="587"/>
      <c r="D777" s="587"/>
      <c r="E777" s="587"/>
      <c r="F777" s="587"/>
      <c r="G777" s="587"/>
      <c r="H777" s="587"/>
    </row>
    <row r="778" spans="1:8" x14ac:dyDescent="0.3">
      <c r="A778" s="587" t="s">
        <v>1159</v>
      </c>
      <c r="B778" s="587"/>
      <c r="C778" s="587"/>
      <c r="D778" s="587"/>
      <c r="E778" s="587"/>
      <c r="F778" s="587"/>
      <c r="G778" s="587"/>
      <c r="H778" s="587"/>
    </row>
    <row r="779" spans="1:8" x14ac:dyDescent="0.3">
      <c r="A779" s="587" t="s">
        <v>215</v>
      </c>
      <c r="B779" s="587"/>
      <c r="C779" s="587"/>
      <c r="D779" s="587"/>
      <c r="E779" s="587"/>
      <c r="F779" s="587"/>
      <c r="G779" s="587"/>
      <c r="H779" s="587"/>
    </row>
    <row r="780" spans="1:8" x14ac:dyDescent="0.3">
      <c r="A780" s="336"/>
      <c r="B780" s="336"/>
      <c r="C780" s="336"/>
      <c r="D780" s="336"/>
      <c r="E780" s="336"/>
      <c r="F780" s="336"/>
      <c r="G780" s="336"/>
    </row>
    <row r="781" spans="1:8" x14ac:dyDescent="0.3">
      <c r="A781" s="33" t="s">
        <v>692</v>
      </c>
      <c r="B781" s="33"/>
      <c r="C781" s="33"/>
      <c r="D781" s="33"/>
      <c r="E781" s="33"/>
      <c r="F781" s="33"/>
      <c r="G781" s="34"/>
    </row>
    <row r="782" spans="1:8" x14ac:dyDescent="0.3">
      <c r="A782" s="34"/>
      <c r="B782" s="336"/>
      <c r="C782" s="34"/>
      <c r="D782" s="34"/>
      <c r="E782" s="34"/>
      <c r="F782" s="34"/>
      <c r="G782" s="34"/>
    </row>
    <row r="783" spans="1:8" x14ac:dyDescent="0.3">
      <c r="A783" s="337" t="s">
        <v>693</v>
      </c>
      <c r="B783" s="337"/>
      <c r="C783" s="337"/>
      <c r="D783" s="34"/>
      <c r="E783" s="34"/>
      <c r="F783" s="34"/>
      <c r="G783" s="34"/>
    </row>
    <row r="784" spans="1:8" ht="24" x14ac:dyDescent="0.3">
      <c r="A784" s="142" t="s">
        <v>0</v>
      </c>
      <c r="B784" s="142" t="s">
        <v>20</v>
      </c>
      <c r="C784" s="142" t="s">
        <v>21</v>
      </c>
      <c r="D784" s="142" t="s">
        <v>214</v>
      </c>
      <c r="E784" s="142" t="s">
        <v>53</v>
      </c>
      <c r="F784" s="142" t="s">
        <v>22</v>
      </c>
      <c r="G784" s="142" t="s">
        <v>1160</v>
      </c>
      <c r="H784" s="142" t="s">
        <v>44</v>
      </c>
    </row>
    <row r="785" spans="1:8" x14ac:dyDescent="0.3">
      <c r="A785" s="31">
        <v>1</v>
      </c>
      <c r="B785" s="121">
        <v>22020102</v>
      </c>
      <c r="C785" s="122" t="s">
        <v>216</v>
      </c>
      <c r="D785" s="123">
        <v>6000000</v>
      </c>
      <c r="E785" s="32">
        <v>0</v>
      </c>
      <c r="F785" s="32">
        <v>0</v>
      </c>
      <c r="G785" s="32">
        <f t="shared" ref="G785:G803" si="41">D785-E785+F785</f>
        <v>6000000</v>
      </c>
      <c r="H785" s="31"/>
    </row>
    <row r="786" spans="1:8" x14ac:dyDescent="0.3">
      <c r="A786" s="31">
        <v>2</v>
      </c>
      <c r="B786" s="121">
        <v>22020201</v>
      </c>
      <c r="C786" s="122" t="s">
        <v>217</v>
      </c>
      <c r="D786" s="123">
        <v>500000</v>
      </c>
      <c r="E786" s="32">
        <v>0</v>
      </c>
      <c r="F786" s="32">
        <v>0</v>
      </c>
      <c r="G786" s="32">
        <f t="shared" si="41"/>
        <v>500000</v>
      </c>
      <c r="H786" s="31"/>
    </row>
    <row r="787" spans="1:8" x14ac:dyDescent="0.3">
      <c r="A787" s="31">
        <v>3</v>
      </c>
      <c r="B787" s="121">
        <v>22020202</v>
      </c>
      <c r="C787" s="122" t="s">
        <v>218</v>
      </c>
      <c r="D787" s="123">
        <v>250000</v>
      </c>
      <c r="E787" s="32">
        <v>0</v>
      </c>
      <c r="F787" s="32">
        <v>0</v>
      </c>
      <c r="G787" s="32">
        <f t="shared" si="41"/>
        <v>250000</v>
      </c>
      <c r="H787" s="31"/>
    </row>
    <row r="788" spans="1:8" x14ac:dyDescent="0.3">
      <c r="A788" s="31">
        <v>4</v>
      </c>
      <c r="B788" s="121">
        <v>22020205</v>
      </c>
      <c r="C788" s="122" t="s">
        <v>694</v>
      </c>
      <c r="D788" s="123">
        <v>250000</v>
      </c>
      <c r="E788" s="32">
        <v>0</v>
      </c>
      <c r="F788" s="32">
        <v>0</v>
      </c>
      <c r="G788" s="32">
        <f t="shared" si="41"/>
        <v>250000</v>
      </c>
      <c r="H788" s="31"/>
    </row>
    <row r="789" spans="1:8" x14ac:dyDescent="0.3">
      <c r="A789" s="31">
        <v>5</v>
      </c>
      <c r="B789" s="121">
        <v>22020301</v>
      </c>
      <c r="C789" s="122" t="s">
        <v>220</v>
      </c>
      <c r="D789" s="123">
        <v>1000000</v>
      </c>
      <c r="E789" s="32">
        <v>0</v>
      </c>
      <c r="F789" s="32">
        <v>0</v>
      </c>
      <c r="G789" s="32">
        <f t="shared" si="41"/>
        <v>1000000</v>
      </c>
      <c r="H789" s="31"/>
    </row>
    <row r="790" spans="1:8" x14ac:dyDescent="0.3">
      <c r="A790" s="31">
        <v>6</v>
      </c>
      <c r="B790" s="121">
        <v>22020303</v>
      </c>
      <c r="C790" s="122" t="s">
        <v>276</v>
      </c>
      <c r="D790" s="123">
        <v>200000</v>
      </c>
      <c r="E790" s="32">
        <v>0</v>
      </c>
      <c r="F790" s="32">
        <v>0</v>
      </c>
      <c r="G790" s="32">
        <f t="shared" si="41"/>
        <v>200000</v>
      </c>
      <c r="H790" s="31"/>
    </row>
    <row r="791" spans="1:8" x14ac:dyDescent="0.3">
      <c r="A791" s="31">
        <v>7</v>
      </c>
      <c r="B791" s="121">
        <v>22020304</v>
      </c>
      <c r="C791" s="122" t="s">
        <v>241</v>
      </c>
      <c r="D791" s="123">
        <v>300000</v>
      </c>
      <c r="E791" s="32">
        <v>0</v>
      </c>
      <c r="F791" s="32">
        <v>0</v>
      </c>
      <c r="G791" s="32">
        <f t="shared" si="41"/>
        <v>300000</v>
      </c>
      <c r="H791" s="31"/>
    </row>
    <row r="792" spans="1:8" x14ac:dyDescent="0.3">
      <c r="A792" s="31">
        <v>8</v>
      </c>
      <c r="B792" s="121">
        <v>22020305</v>
      </c>
      <c r="C792" s="122" t="s">
        <v>233</v>
      </c>
      <c r="D792" s="123">
        <v>300000</v>
      </c>
      <c r="E792" s="32">
        <v>0</v>
      </c>
      <c r="F792" s="32">
        <v>0</v>
      </c>
      <c r="G792" s="32">
        <f t="shared" si="41"/>
        <v>300000</v>
      </c>
      <c r="H792" s="31"/>
    </row>
    <row r="793" spans="1:8" ht="20.399999999999999" x14ac:dyDescent="0.3">
      <c r="A793" s="31">
        <v>9</v>
      </c>
      <c r="B793" s="121">
        <v>22020401</v>
      </c>
      <c r="C793" s="122" t="s">
        <v>222</v>
      </c>
      <c r="D793" s="123">
        <v>1500000</v>
      </c>
      <c r="E793" s="32">
        <v>0</v>
      </c>
      <c r="F793" s="32">
        <v>0</v>
      </c>
      <c r="G793" s="32">
        <f t="shared" si="41"/>
        <v>1500000</v>
      </c>
      <c r="H793" s="31"/>
    </row>
    <row r="794" spans="1:8" x14ac:dyDescent="0.3">
      <c r="A794" s="31">
        <v>10</v>
      </c>
      <c r="B794" s="121">
        <v>22020404</v>
      </c>
      <c r="C794" s="122" t="s">
        <v>697</v>
      </c>
      <c r="D794" s="123">
        <v>1100000</v>
      </c>
      <c r="E794" s="32">
        <v>0</v>
      </c>
      <c r="F794" s="32">
        <v>0</v>
      </c>
      <c r="G794" s="32">
        <f t="shared" si="41"/>
        <v>1100000</v>
      </c>
      <c r="H794" s="31"/>
    </row>
    <row r="795" spans="1:8" x14ac:dyDescent="0.3">
      <c r="A795" s="31">
        <v>11</v>
      </c>
      <c r="B795" s="121">
        <v>22020405</v>
      </c>
      <c r="C795" s="122" t="s">
        <v>248</v>
      </c>
      <c r="D795" s="123">
        <v>70000000</v>
      </c>
      <c r="E795" s="32">
        <v>35000000</v>
      </c>
      <c r="F795" s="32">
        <v>0</v>
      </c>
      <c r="G795" s="32">
        <f t="shared" si="41"/>
        <v>35000000</v>
      </c>
      <c r="H795" s="31"/>
    </row>
    <row r="796" spans="1:8" x14ac:dyDescent="0.3">
      <c r="A796" s="31">
        <v>12</v>
      </c>
      <c r="B796" s="121">
        <v>22020410</v>
      </c>
      <c r="C796" s="122" t="s">
        <v>695</v>
      </c>
      <c r="D796" s="123">
        <v>30000000</v>
      </c>
      <c r="E796" s="32">
        <v>25000000</v>
      </c>
      <c r="F796" s="32">
        <v>0</v>
      </c>
      <c r="G796" s="32">
        <f t="shared" si="41"/>
        <v>5000000</v>
      </c>
      <c r="H796" s="31"/>
    </row>
    <row r="797" spans="1:8" ht="19.5" customHeight="1" x14ac:dyDescent="0.3">
      <c r="A797" s="31">
        <v>13</v>
      </c>
      <c r="B797" s="121">
        <v>22020503</v>
      </c>
      <c r="C797" s="122" t="s">
        <v>236</v>
      </c>
      <c r="D797" s="123">
        <v>2000000</v>
      </c>
      <c r="E797" s="32">
        <v>0</v>
      </c>
      <c r="F797" s="32">
        <v>0</v>
      </c>
      <c r="G797" s="32">
        <f t="shared" si="41"/>
        <v>2000000</v>
      </c>
      <c r="H797" s="31"/>
    </row>
    <row r="798" spans="1:8" x14ac:dyDescent="0.3">
      <c r="A798" s="31">
        <v>14</v>
      </c>
      <c r="B798" s="121">
        <v>22020706</v>
      </c>
      <c r="C798" s="122" t="s">
        <v>696</v>
      </c>
      <c r="D798" s="123">
        <v>5000000</v>
      </c>
      <c r="E798" s="32">
        <v>0</v>
      </c>
      <c r="F798" s="32">
        <v>0</v>
      </c>
      <c r="G798" s="32">
        <f t="shared" si="41"/>
        <v>5000000</v>
      </c>
      <c r="H798" s="31"/>
    </row>
    <row r="799" spans="1:8" x14ac:dyDescent="0.3">
      <c r="A799" s="31">
        <v>15</v>
      </c>
      <c r="B799" s="121">
        <v>22020803</v>
      </c>
      <c r="C799" s="122" t="s">
        <v>239</v>
      </c>
      <c r="D799" s="123">
        <v>250000000</v>
      </c>
      <c r="E799" s="32">
        <v>0</v>
      </c>
      <c r="F799" s="32">
        <v>60000000</v>
      </c>
      <c r="G799" s="32">
        <f t="shared" si="41"/>
        <v>310000000</v>
      </c>
      <c r="H799" s="32" t="s">
        <v>240</v>
      </c>
    </row>
    <row r="800" spans="1:8" x14ac:dyDescent="0.3">
      <c r="A800" s="31">
        <v>16</v>
      </c>
      <c r="B800" s="121">
        <v>22021001</v>
      </c>
      <c r="C800" s="122" t="s">
        <v>229</v>
      </c>
      <c r="D800" s="123">
        <v>500000</v>
      </c>
      <c r="E800" s="32">
        <v>0</v>
      </c>
      <c r="F800" s="32">
        <v>0</v>
      </c>
      <c r="G800" s="32">
        <f t="shared" si="41"/>
        <v>500000</v>
      </c>
      <c r="H800" s="31"/>
    </row>
    <row r="801" spans="1:8" x14ac:dyDescent="0.3">
      <c r="A801" s="31">
        <v>17</v>
      </c>
      <c r="B801" s="121">
        <v>22021002</v>
      </c>
      <c r="C801" s="122" t="s">
        <v>243</v>
      </c>
      <c r="D801" s="123">
        <v>300000</v>
      </c>
      <c r="E801" s="32">
        <v>0</v>
      </c>
      <c r="F801" s="32">
        <v>0</v>
      </c>
      <c r="G801" s="32">
        <f t="shared" si="41"/>
        <v>300000</v>
      </c>
      <c r="H801" s="31"/>
    </row>
    <row r="802" spans="1:8" x14ac:dyDescent="0.3">
      <c r="A802" s="31">
        <v>18</v>
      </c>
      <c r="B802" s="121">
        <v>22021003</v>
      </c>
      <c r="C802" s="122" t="s">
        <v>259</v>
      </c>
      <c r="D802" s="123">
        <v>200000</v>
      </c>
      <c r="E802" s="32">
        <v>0</v>
      </c>
      <c r="F802" s="32">
        <v>0</v>
      </c>
      <c r="G802" s="32">
        <f t="shared" si="41"/>
        <v>200000</v>
      </c>
      <c r="H802" s="31"/>
    </row>
    <row r="803" spans="1:8" x14ac:dyDescent="0.3">
      <c r="A803" s="31">
        <v>19</v>
      </c>
      <c r="B803" s="121">
        <v>22021007</v>
      </c>
      <c r="C803" s="122" t="s">
        <v>230</v>
      </c>
      <c r="D803" s="123">
        <v>600000</v>
      </c>
      <c r="E803" s="32">
        <v>0</v>
      </c>
      <c r="F803" s="32">
        <v>0</v>
      </c>
      <c r="G803" s="32">
        <f t="shared" si="41"/>
        <v>600000</v>
      </c>
      <c r="H803" s="31"/>
    </row>
    <row r="804" spans="1:8" x14ac:dyDescent="0.3">
      <c r="A804" s="589" t="s">
        <v>23</v>
      </c>
      <c r="B804" s="589"/>
      <c r="C804" s="589"/>
      <c r="D804" s="119">
        <f>SUM(D785:D803)</f>
        <v>370000000</v>
      </c>
      <c r="E804" s="119">
        <f t="shared" ref="E804:F804" si="42">SUM(E785:E803)</f>
        <v>60000000</v>
      </c>
      <c r="F804" s="119">
        <f t="shared" si="42"/>
        <v>60000000</v>
      </c>
      <c r="G804" s="117">
        <f>SUM(G779:G803)</f>
        <v>370000000</v>
      </c>
      <c r="H804" s="338"/>
    </row>
    <row r="809" spans="1:8" x14ac:dyDescent="0.3">
      <c r="A809" s="587" t="s">
        <v>213</v>
      </c>
      <c r="B809" s="587"/>
      <c r="C809" s="587"/>
      <c r="D809" s="587"/>
      <c r="E809" s="587"/>
      <c r="F809" s="587"/>
      <c r="G809" s="587"/>
      <c r="H809" s="587"/>
    </row>
    <row r="810" spans="1:8" x14ac:dyDescent="0.3">
      <c r="A810" s="587" t="s">
        <v>1159</v>
      </c>
      <c r="B810" s="587"/>
      <c r="C810" s="587"/>
      <c r="D810" s="587"/>
      <c r="E810" s="587"/>
      <c r="F810" s="587"/>
      <c r="G810" s="587"/>
      <c r="H810" s="587"/>
    </row>
    <row r="811" spans="1:8" x14ac:dyDescent="0.3">
      <c r="A811" s="587" t="s">
        <v>215</v>
      </c>
      <c r="B811" s="587"/>
      <c r="C811" s="587"/>
      <c r="D811" s="587"/>
      <c r="E811" s="587"/>
      <c r="F811" s="587"/>
      <c r="G811" s="587"/>
      <c r="H811" s="587"/>
    </row>
    <row r="812" spans="1:8" x14ac:dyDescent="0.3">
      <c r="A812" s="336"/>
      <c r="B812" s="336"/>
      <c r="C812" s="336"/>
      <c r="D812" s="336"/>
      <c r="E812" s="336"/>
      <c r="F812" s="336"/>
      <c r="G812" s="336"/>
    </row>
    <row r="813" spans="1:8" x14ac:dyDescent="0.3">
      <c r="A813" s="33" t="s">
        <v>660</v>
      </c>
      <c r="B813" s="33"/>
      <c r="C813" s="33"/>
      <c r="D813" s="33"/>
      <c r="E813" s="33"/>
      <c r="F813" s="33"/>
      <c r="G813" s="34"/>
    </row>
    <row r="814" spans="1:8" x14ac:dyDescent="0.3">
      <c r="A814" s="34"/>
      <c r="B814" s="336"/>
      <c r="C814" s="34"/>
      <c r="D814" s="34"/>
      <c r="E814" s="34"/>
      <c r="F814" s="34"/>
      <c r="G814" s="34"/>
    </row>
    <row r="815" spans="1:8" x14ac:dyDescent="0.3">
      <c r="A815" s="337" t="s">
        <v>661</v>
      </c>
      <c r="B815" s="337"/>
      <c r="C815" s="337"/>
      <c r="D815" s="34"/>
      <c r="E815" s="34"/>
      <c r="F815" s="34"/>
      <c r="G815" s="34"/>
    </row>
    <row r="816" spans="1:8" ht="24" x14ac:dyDescent="0.3">
      <c r="A816" s="142" t="s">
        <v>0</v>
      </c>
      <c r="B816" s="142" t="s">
        <v>20</v>
      </c>
      <c r="C816" s="142" t="s">
        <v>21</v>
      </c>
      <c r="D816" s="142" t="s">
        <v>214</v>
      </c>
      <c r="E816" s="142" t="s">
        <v>53</v>
      </c>
      <c r="F816" s="142" t="s">
        <v>22</v>
      </c>
      <c r="G816" s="142" t="s">
        <v>1160</v>
      </c>
      <c r="H816" s="142" t="s">
        <v>44</v>
      </c>
    </row>
    <row r="817" spans="1:8" x14ac:dyDescent="0.3">
      <c r="A817" s="31">
        <v>1</v>
      </c>
      <c r="B817" s="121">
        <v>22020102</v>
      </c>
      <c r="C817" s="122" t="s">
        <v>216</v>
      </c>
      <c r="D817" s="123">
        <v>1760000</v>
      </c>
      <c r="E817" s="52">
        <v>0</v>
      </c>
      <c r="F817" s="52">
        <v>1000000</v>
      </c>
      <c r="G817" s="32">
        <f>D817-E817+F817</f>
        <v>2760000</v>
      </c>
      <c r="H817" s="32" t="s">
        <v>240</v>
      </c>
    </row>
    <row r="818" spans="1:8" x14ac:dyDescent="0.3">
      <c r="A818" s="31">
        <v>2</v>
      </c>
      <c r="B818" s="121">
        <v>22020202</v>
      </c>
      <c r="C818" s="122" t="s">
        <v>218</v>
      </c>
      <c r="D818" s="123">
        <v>342000</v>
      </c>
      <c r="E818" s="52">
        <v>0</v>
      </c>
      <c r="F818" s="52">
        <v>250000</v>
      </c>
      <c r="G818" s="32">
        <f>D818-E818+F818</f>
        <v>592000</v>
      </c>
      <c r="H818" s="32" t="s">
        <v>240</v>
      </c>
    </row>
    <row r="819" spans="1:8" x14ac:dyDescent="0.3">
      <c r="A819" s="31">
        <v>3</v>
      </c>
      <c r="B819" s="121">
        <v>22020301</v>
      </c>
      <c r="C819" s="122" t="s">
        <v>220</v>
      </c>
      <c r="D819" s="123">
        <v>820000</v>
      </c>
      <c r="E819" s="52">
        <v>0</v>
      </c>
      <c r="F819" s="52">
        <v>250000</v>
      </c>
      <c r="G819" s="32">
        <f>D819-E819+F819</f>
        <v>1070000</v>
      </c>
      <c r="H819" s="32" t="s">
        <v>240</v>
      </c>
    </row>
    <row r="820" spans="1:8" x14ac:dyDescent="0.3">
      <c r="A820" s="31">
        <v>4</v>
      </c>
      <c r="B820" s="121">
        <v>22020801</v>
      </c>
      <c r="C820" s="122" t="s">
        <v>228</v>
      </c>
      <c r="D820" s="123">
        <v>506800</v>
      </c>
      <c r="E820" s="52">
        <v>0</v>
      </c>
      <c r="F820" s="52">
        <v>1000000</v>
      </c>
      <c r="G820" s="32">
        <f>D820-E820+F820</f>
        <v>1506800</v>
      </c>
      <c r="H820" s="32" t="s">
        <v>240</v>
      </c>
    </row>
    <row r="821" spans="1:8" x14ac:dyDescent="0.3">
      <c r="A821" s="31">
        <v>5</v>
      </c>
      <c r="B821" s="121">
        <v>22020803</v>
      </c>
      <c r="C821" s="122" t="s">
        <v>239</v>
      </c>
      <c r="D821" s="123">
        <v>571200</v>
      </c>
      <c r="E821" s="52">
        <v>0</v>
      </c>
      <c r="F821" s="52">
        <v>500000</v>
      </c>
      <c r="G821" s="32">
        <f>D821-E821+F821</f>
        <v>1071200</v>
      </c>
      <c r="H821" s="32" t="s">
        <v>240</v>
      </c>
    </row>
    <row r="822" spans="1:8" x14ac:dyDescent="0.3">
      <c r="A822" s="588" t="s">
        <v>23</v>
      </c>
      <c r="B822" s="588"/>
      <c r="C822" s="588"/>
      <c r="D822" s="119">
        <f>SUM(D817:D821)</f>
        <v>4000000</v>
      </c>
      <c r="E822" s="117">
        <f>SUM(E817:E821)</f>
        <v>0</v>
      </c>
      <c r="F822" s="119">
        <f>SUM(F817:F821)</f>
        <v>3000000</v>
      </c>
      <c r="G822" s="119">
        <f>SUM(G817:G821)</f>
        <v>7000000</v>
      </c>
      <c r="H822" s="117"/>
    </row>
    <row r="842" spans="1:8" x14ac:dyDescent="0.3">
      <c r="A842" s="587" t="s">
        <v>213</v>
      </c>
      <c r="B842" s="587"/>
      <c r="C842" s="587"/>
      <c r="D842" s="587"/>
      <c r="E842" s="587"/>
      <c r="F842" s="587"/>
      <c r="G842" s="587"/>
      <c r="H842" s="587"/>
    </row>
    <row r="843" spans="1:8" x14ac:dyDescent="0.3">
      <c r="A843" s="587" t="s">
        <v>1159</v>
      </c>
      <c r="B843" s="587"/>
      <c r="C843" s="587"/>
      <c r="D843" s="587"/>
      <c r="E843" s="587"/>
      <c r="F843" s="587"/>
      <c r="G843" s="587"/>
      <c r="H843" s="587"/>
    </row>
    <row r="844" spans="1:8" x14ac:dyDescent="0.3">
      <c r="A844" s="587" t="s">
        <v>215</v>
      </c>
      <c r="B844" s="587"/>
      <c r="C844" s="587"/>
      <c r="D844" s="587"/>
      <c r="E844" s="587"/>
      <c r="F844" s="587"/>
      <c r="G844" s="587"/>
      <c r="H844" s="587"/>
    </row>
    <row r="845" spans="1:8" x14ac:dyDescent="0.3">
      <c r="A845" s="336"/>
      <c r="B845" s="336"/>
      <c r="C845" s="336"/>
      <c r="D845" s="336"/>
      <c r="E845" s="336"/>
      <c r="F845" s="336"/>
      <c r="G845" s="336"/>
    </row>
    <row r="846" spans="1:8" x14ac:dyDescent="0.3">
      <c r="A846" s="33" t="s">
        <v>656</v>
      </c>
      <c r="B846" s="33"/>
      <c r="C846" s="33"/>
      <c r="D846" s="33"/>
      <c r="E846" s="33"/>
      <c r="F846" s="33"/>
      <c r="G846" s="34"/>
    </row>
    <row r="847" spans="1:8" x14ac:dyDescent="0.3">
      <c r="A847" s="34"/>
      <c r="B847" s="336"/>
      <c r="C847" s="34"/>
      <c r="D847" s="34"/>
      <c r="E847" s="34"/>
      <c r="F847" s="34"/>
      <c r="G847" s="34"/>
    </row>
    <row r="848" spans="1:8" x14ac:dyDescent="0.3">
      <c r="A848" s="337" t="s">
        <v>657</v>
      </c>
      <c r="B848" s="337"/>
      <c r="C848" s="337"/>
      <c r="D848" s="34"/>
      <c r="E848" s="34"/>
      <c r="F848" s="34"/>
      <c r="G848" s="34"/>
    </row>
    <row r="849" spans="1:8" ht="24" x14ac:dyDescent="0.3">
      <c r="A849" s="142" t="s">
        <v>0</v>
      </c>
      <c r="B849" s="142" t="s">
        <v>20</v>
      </c>
      <c r="C849" s="142" t="s">
        <v>21</v>
      </c>
      <c r="D849" s="142" t="s">
        <v>214</v>
      </c>
      <c r="E849" s="142" t="s">
        <v>53</v>
      </c>
      <c r="F849" s="142" t="s">
        <v>22</v>
      </c>
      <c r="G849" s="142" t="s">
        <v>1160</v>
      </c>
      <c r="H849" s="142" t="s">
        <v>44</v>
      </c>
    </row>
    <row r="850" spans="1:8" x14ac:dyDescent="0.3">
      <c r="A850" s="31">
        <v>1</v>
      </c>
      <c r="B850" s="121">
        <v>22020102</v>
      </c>
      <c r="C850" s="122" t="s">
        <v>216</v>
      </c>
      <c r="D850" s="123">
        <v>40000000</v>
      </c>
      <c r="E850" s="32">
        <v>0</v>
      </c>
      <c r="F850" s="32">
        <v>0</v>
      </c>
      <c r="G850" s="32">
        <f t="shared" ref="G850:G869" si="43">D850-E850+F850</f>
        <v>40000000</v>
      </c>
      <c r="H850" s="31"/>
    </row>
    <row r="851" spans="1:8" x14ac:dyDescent="0.3">
      <c r="A851" s="31">
        <v>2</v>
      </c>
      <c r="B851" s="121">
        <v>22020202</v>
      </c>
      <c r="C851" s="122" t="s">
        <v>218</v>
      </c>
      <c r="D851" s="123">
        <v>4000000</v>
      </c>
      <c r="E851" s="32">
        <v>0</v>
      </c>
      <c r="F851" s="32">
        <v>0</v>
      </c>
      <c r="G851" s="32">
        <f t="shared" si="43"/>
        <v>4000000</v>
      </c>
      <c r="H851" s="31"/>
    </row>
    <row r="852" spans="1:8" x14ac:dyDescent="0.3">
      <c r="A852" s="31">
        <v>3</v>
      </c>
      <c r="B852" s="121">
        <v>22020301</v>
      </c>
      <c r="C852" s="122" t="s">
        <v>220</v>
      </c>
      <c r="D852" s="123">
        <v>10000000</v>
      </c>
      <c r="E852" s="32">
        <v>0</v>
      </c>
      <c r="F852" s="32">
        <v>0</v>
      </c>
      <c r="G852" s="32">
        <f t="shared" si="43"/>
        <v>10000000</v>
      </c>
      <c r="H852" s="31"/>
    </row>
    <row r="853" spans="1:8" x14ac:dyDescent="0.3">
      <c r="A853" s="31">
        <v>4</v>
      </c>
      <c r="B853" s="121">
        <v>22020305</v>
      </c>
      <c r="C853" s="122" t="s">
        <v>233</v>
      </c>
      <c r="D853" s="123">
        <v>23000000</v>
      </c>
      <c r="E853" s="32">
        <v>0</v>
      </c>
      <c r="F853" s="32">
        <v>0</v>
      </c>
      <c r="G853" s="32">
        <f t="shared" si="43"/>
        <v>23000000</v>
      </c>
      <c r="H853" s="31"/>
    </row>
    <row r="854" spans="1:8" ht="20.399999999999999" x14ac:dyDescent="0.3">
      <c r="A854" s="31">
        <v>5</v>
      </c>
      <c r="B854" s="121">
        <v>22020401</v>
      </c>
      <c r="C854" s="122" t="s">
        <v>222</v>
      </c>
      <c r="D854" s="123">
        <v>9000000</v>
      </c>
      <c r="E854" s="32">
        <v>0</v>
      </c>
      <c r="F854" s="32">
        <v>0</v>
      </c>
      <c r="G854" s="32">
        <f t="shared" si="43"/>
        <v>9000000</v>
      </c>
      <c r="H854" s="31"/>
    </row>
    <row r="855" spans="1:8" x14ac:dyDescent="0.3">
      <c r="A855" s="31">
        <v>6</v>
      </c>
      <c r="B855" s="121">
        <v>22020402</v>
      </c>
      <c r="C855" s="122" t="s">
        <v>223</v>
      </c>
      <c r="D855" s="123">
        <v>10000000</v>
      </c>
      <c r="E855" s="32">
        <v>0</v>
      </c>
      <c r="F855" s="32">
        <v>0</v>
      </c>
      <c r="G855" s="32">
        <f t="shared" si="43"/>
        <v>10000000</v>
      </c>
      <c r="H855" s="31"/>
    </row>
    <row r="856" spans="1:8" x14ac:dyDescent="0.3">
      <c r="A856" s="31">
        <v>7</v>
      </c>
      <c r="B856" s="121">
        <v>22020404</v>
      </c>
      <c r="C856" s="122" t="s">
        <v>235</v>
      </c>
      <c r="D856" s="123">
        <v>10000000</v>
      </c>
      <c r="E856" s="32">
        <v>0</v>
      </c>
      <c r="F856" s="32">
        <v>0</v>
      </c>
      <c r="G856" s="32">
        <f t="shared" si="43"/>
        <v>10000000</v>
      </c>
      <c r="H856" s="31"/>
    </row>
    <row r="857" spans="1:8" x14ac:dyDescent="0.3">
      <c r="A857" s="31">
        <v>8</v>
      </c>
      <c r="B857" s="121">
        <v>22020405</v>
      </c>
      <c r="C857" s="122" t="s">
        <v>248</v>
      </c>
      <c r="D857" s="123">
        <v>7000000</v>
      </c>
      <c r="E857" s="32">
        <v>0</v>
      </c>
      <c r="F857" s="32">
        <v>0</v>
      </c>
      <c r="G857" s="32">
        <f t="shared" si="43"/>
        <v>7000000</v>
      </c>
      <c r="H857" s="31"/>
    </row>
    <row r="858" spans="1:8" x14ac:dyDescent="0.3">
      <c r="A858" s="31">
        <v>9</v>
      </c>
      <c r="B858" s="121">
        <v>22020501</v>
      </c>
      <c r="C858" s="122" t="s">
        <v>225</v>
      </c>
      <c r="D858" s="123">
        <v>46000000</v>
      </c>
      <c r="E858" s="32">
        <v>0</v>
      </c>
      <c r="F858" s="32">
        <v>0</v>
      </c>
      <c r="G858" s="32">
        <f t="shared" si="43"/>
        <v>46000000</v>
      </c>
      <c r="H858" s="31"/>
    </row>
    <row r="859" spans="1:8" ht="20.25" customHeight="1" x14ac:dyDescent="0.3">
      <c r="A859" s="31">
        <v>10</v>
      </c>
      <c r="B859" s="121">
        <v>22020503</v>
      </c>
      <c r="C859" s="122" t="s">
        <v>236</v>
      </c>
      <c r="D859" s="123">
        <v>11000000</v>
      </c>
      <c r="E859" s="32">
        <v>0</v>
      </c>
      <c r="F859" s="32">
        <v>950000</v>
      </c>
      <c r="G859" s="32">
        <f t="shared" si="43"/>
        <v>11950000</v>
      </c>
      <c r="H859" s="31" t="s">
        <v>430</v>
      </c>
    </row>
    <row r="860" spans="1:8" x14ac:dyDescent="0.3">
      <c r="A860" s="31">
        <v>11</v>
      </c>
      <c r="B860" s="121">
        <v>22020605</v>
      </c>
      <c r="C860" s="122" t="s">
        <v>238</v>
      </c>
      <c r="D860" s="123">
        <v>2000000</v>
      </c>
      <c r="E860" s="32">
        <v>0</v>
      </c>
      <c r="F860" s="32">
        <v>0</v>
      </c>
      <c r="G860" s="32">
        <f t="shared" si="43"/>
        <v>2000000</v>
      </c>
      <c r="H860" s="31"/>
    </row>
    <row r="861" spans="1:8" x14ac:dyDescent="0.3">
      <c r="A861" s="31">
        <v>12</v>
      </c>
      <c r="B861" s="121">
        <v>22020701</v>
      </c>
      <c r="C861" s="122" t="s">
        <v>264</v>
      </c>
      <c r="D861" s="123">
        <v>50000000</v>
      </c>
      <c r="E861" s="32">
        <v>0</v>
      </c>
      <c r="F861" s="32">
        <v>0</v>
      </c>
      <c r="G861" s="32">
        <f t="shared" si="43"/>
        <v>50000000</v>
      </c>
      <c r="H861" s="31"/>
    </row>
    <row r="862" spans="1:8" x14ac:dyDescent="0.3">
      <c r="A862" s="31">
        <v>13</v>
      </c>
      <c r="B862" s="121">
        <v>22020712</v>
      </c>
      <c r="C862" s="122" t="s">
        <v>242</v>
      </c>
      <c r="D862" s="123">
        <v>65000000</v>
      </c>
      <c r="E862" s="32">
        <v>30000000</v>
      </c>
      <c r="F862" s="32">
        <v>0</v>
      </c>
      <c r="G862" s="32">
        <f t="shared" si="43"/>
        <v>35000000</v>
      </c>
      <c r="H862" s="31"/>
    </row>
    <row r="863" spans="1:8" x14ac:dyDescent="0.3">
      <c r="A863" s="31">
        <v>14</v>
      </c>
      <c r="B863" s="121">
        <v>22021001</v>
      </c>
      <c r="C863" s="122" t="s">
        <v>229</v>
      </c>
      <c r="D863" s="123">
        <v>12000000</v>
      </c>
      <c r="E863" s="32">
        <v>0</v>
      </c>
      <c r="F863" s="32">
        <v>0</v>
      </c>
      <c r="G863" s="32">
        <f t="shared" si="43"/>
        <v>12000000</v>
      </c>
      <c r="H863" s="31"/>
    </row>
    <row r="864" spans="1:8" x14ac:dyDescent="0.3">
      <c r="A864" s="31">
        <v>15</v>
      </c>
      <c r="B864" s="121">
        <v>22021003</v>
      </c>
      <c r="C864" s="122" t="s">
        <v>259</v>
      </c>
      <c r="D864" s="123">
        <v>3000000</v>
      </c>
      <c r="E864" s="32">
        <v>0</v>
      </c>
      <c r="F864" s="32">
        <v>0</v>
      </c>
      <c r="G864" s="32">
        <f t="shared" si="43"/>
        <v>3000000</v>
      </c>
      <c r="H864" s="31"/>
    </row>
    <row r="865" spans="1:8" x14ac:dyDescent="0.3">
      <c r="A865" s="31">
        <v>16</v>
      </c>
      <c r="B865" s="121">
        <v>22021007</v>
      </c>
      <c r="C865" s="122" t="s">
        <v>230</v>
      </c>
      <c r="D865" s="123">
        <v>89000000</v>
      </c>
      <c r="E865" s="32">
        <v>0</v>
      </c>
      <c r="F865" s="32">
        <v>0</v>
      </c>
      <c r="G865" s="32">
        <f t="shared" si="43"/>
        <v>89000000</v>
      </c>
      <c r="H865" s="31"/>
    </row>
    <row r="866" spans="1:8" x14ac:dyDescent="0.3">
      <c r="A866" s="31">
        <v>17</v>
      </c>
      <c r="B866" s="121">
        <v>22021014</v>
      </c>
      <c r="C866" s="122" t="s">
        <v>526</v>
      </c>
      <c r="D866" s="123">
        <v>207000000</v>
      </c>
      <c r="E866" s="32">
        <v>0</v>
      </c>
      <c r="F866" s="32">
        <v>0</v>
      </c>
      <c r="G866" s="32">
        <f t="shared" si="43"/>
        <v>207000000</v>
      </c>
      <c r="H866" s="31"/>
    </row>
    <row r="867" spans="1:8" x14ac:dyDescent="0.3">
      <c r="A867" s="31">
        <v>18</v>
      </c>
      <c r="B867" s="121">
        <v>22021041</v>
      </c>
      <c r="C867" s="122" t="s">
        <v>266</v>
      </c>
      <c r="D867" s="123">
        <v>300000000</v>
      </c>
      <c r="E867" s="32">
        <v>300000000</v>
      </c>
      <c r="F867" s="32">
        <v>0</v>
      </c>
      <c r="G867" s="32">
        <f t="shared" si="43"/>
        <v>0</v>
      </c>
      <c r="H867" s="31"/>
    </row>
    <row r="868" spans="1:8" x14ac:dyDescent="0.3">
      <c r="A868" s="31">
        <v>19</v>
      </c>
      <c r="B868" s="121">
        <v>22021060</v>
      </c>
      <c r="C868" s="122" t="s">
        <v>231</v>
      </c>
      <c r="D868" s="123">
        <v>20000000</v>
      </c>
      <c r="E868" s="32">
        <v>0</v>
      </c>
      <c r="F868" s="32">
        <v>0</v>
      </c>
      <c r="G868" s="32">
        <f t="shared" si="43"/>
        <v>20000000</v>
      </c>
      <c r="H868" s="31"/>
    </row>
    <row r="869" spans="1:8" x14ac:dyDescent="0.3">
      <c r="A869" s="31">
        <v>20</v>
      </c>
      <c r="B869" s="121">
        <v>22021062</v>
      </c>
      <c r="C869" s="122" t="s">
        <v>325</v>
      </c>
      <c r="D869" s="123">
        <v>5000000</v>
      </c>
      <c r="E869" s="32">
        <v>0</v>
      </c>
      <c r="F869" s="32">
        <v>0</v>
      </c>
      <c r="G869" s="32">
        <f t="shared" si="43"/>
        <v>5000000</v>
      </c>
      <c r="H869" s="31"/>
    </row>
    <row r="870" spans="1:8" x14ac:dyDescent="0.3">
      <c r="A870" s="589" t="s">
        <v>23</v>
      </c>
      <c r="B870" s="589"/>
      <c r="C870" s="589"/>
      <c r="D870" s="119">
        <f>SUM(D845:D869)</f>
        <v>923000000</v>
      </c>
      <c r="E870" s="117">
        <f t="shared" ref="E870" si="44">SUM(E845:E869)</f>
        <v>330000000</v>
      </c>
      <c r="F870" s="117">
        <f>SUM(F845:F869)</f>
        <v>950000</v>
      </c>
      <c r="G870" s="117">
        <f>SUM(G845:G869)</f>
        <v>593950000</v>
      </c>
      <c r="H870" s="31"/>
    </row>
    <row r="874" spans="1:8" x14ac:dyDescent="0.3">
      <c r="A874" s="587" t="s">
        <v>213</v>
      </c>
      <c r="B874" s="587"/>
      <c r="C874" s="587"/>
      <c r="D874" s="587"/>
      <c r="E874" s="587"/>
      <c r="F874" s="587"/>
      <c r="G874" s="587"/>
      <c r="H874" s="587"/>
    </row>
    <row r="875" spans="1:8" x14ac:dyDescent="0.3">
      <c r="A875" s="587" t="s">
        <v>1159</v>
      </c>
      <c r="B875" s="587"/>
      <c r="C875" s="587"/>
      <c r="D875" s="587"/>
      <c r="E875" s="587"/>
      <c r="F875" s="587"/>
      <c r="G875" s="587"/>
      <c r="H875" s="587"/>
    </row>
    <row r="876" spans="1:8" x14ac:dyDescent="0.3">
      <c r="A876" s="587" t="s">
        <v>215</v>
      </c>
      <c r="B876" s="587"/>
      <c r="C876" s="587"/>
      <c r="D876" s="587"/>
      <c r="E876" s="587"/>
      <c r="F876" s="587"/>
      <c r="G876" s="587"/>
      <c r="H876" s="587"/>
    </row>
    <row r="877" spans="1:8" x14ac:dyDescent="0.3">
      <c r="A877" s="336"/>
      <c r="B877" s="336"/>
      <c r="C877" s="336"/>
      <c r="D877" s="336"/>
      <c r="E877" s="336"/>
      <c r="F877" s="336"/>
      <c r="G877" s="336"/>
    </row>
    <row r="878" spans="1:8" x14ac:dyDescent="0.3">
      <c r="A878" s="33" t="s">
        <v>662</v>
      </c>
      <c r="B878" s="33"/>
      <c r="C878" s="33"/>
      <c r="D878" s="33"/>
      <c r="E878" s="33"/>
      <c r="F878" s="33"/>
      <c r="G878" s="34"/>
    </row>
    <row r="879" spans="1:8" x14ac:dyDescent="0.3">
      <c r="A879" s="34"/>
      <c r="B879" s="336"/>
      <c r="C879" s="34"/>
      <c r="D879" s="34"/>
      <c r="E879" s="34"/>
      <c r="F879" s="34"/>
      <c r="G879" s="34"/>
    </row>
    <row r="880" spans="1:8" x14ac:dyDescent="0.3">
      <c r="A880" s="337" t="s">
        <v>663</v>
      </c>
      <c r="B880" s="337"/>
      <c r="C880" s="337"/>
      <c r="D880" s="34"/>
      <c r="E880" s="34"/>
      <c r="F880" s="34"/>
      <c r="G880" s="34"/>
    </row>
    <row r="881" spans="1:8" ht="24" x14ac:dyDescent="0.3">
      <c r="A881" s="142" t="s">
        <v>0</v>
      </c>
      <c r="B881" s="142" t="s">
        <v>20</v>
      </c>
      <c r="C881" s="142" t="s">
        <v>21</v>
      </c>
      <c r="D881" s="142" t="s">
        <v>214</v>
      </c>
      <c r="E881" s="142" t="s">
        <v>53</v>
      </c>
      <c r="F881" s="142" t="s">
        <v>22</v>
      </c>
      <c r="G881" s="142" t="s">
        <v>1160</v>
      </c>
      <c r="H881" s="142" t="s">
        <v>44</v>
      </c>
    </row>
    <row r="882" spans="1:8" x14ac:dyDescent="0.3">
      <c r="A882" s="31">
        <v>1</v>
      </c>
      <c r="B882" s="121">
        <v>22020102</v>
      </c>
      <c r="C882" s="122" t="s">
        <v>216</v>
      </c>
      <c r="D882" s="123">
        <v>4100000</v>
      </c>
      <c r="E882" s="52">
        <v>0</v>
      </c>
      <c r="F882" s="52">
        <v>2000000</v>
      </c>
      <c r="G882" s="32">
        <f t="shared" ref="G882:G893" si="45">D882-E882+F882</f>
        <v>6100000</v>
      </c>
      <c r="H882" s="32" t="s">
        <v>240</v>
      </c>
    </row>
    <row r="883" spans="1:8" x14ac:dyDescent="0.3">
      <c r="A883" s="31">
        <v>2</v>
      </c>
      <c r="B883" s="121">
        <v>22020201</v>
      </c>
      <c r="C883" s="122" t="s">
        <v>217</v>
      </c>
      <c r="D883" s="123">
        <v>800000</v>
      </c>
      <c r="E883" s="52">
        <v>0</v>
      </c>
      <c r="F883" s="52">
        <v>500000</v>
      </c>
      <c r="G883" s="32">
        <f t="shared" si="45"/>
        <v>1300000</v>
      </c>
      <c r="H883" s="32" t="s">
        <v>240</v>
      </c>
    </row>
    <row r="884" spans="1:8" x14ac:dyDescent="0.3">
      <c r="A884" s="31">
        <v>3</v>
      </c>
      <c r="B884" s="121">
        <v>22020202</v>
      </c>
      <c r="C884" s="122" t="s">
        <v>218</v>
      </c>
      <c r="D884" s="123">
        <v>500000</v>
      </c>
      <c r="E884" s="52">
        <v>0</v>
      </c>
      <c r="F884" s="52">
        <v>300000</v>
      </c>
      <c r="G884" s="32">
        <f t="shared" si="45"/>
        <v>800000</v>
      </c>
      <c r="H884" s="32" t="s">
        <v>240</v>
      </c>
    </row>
    <row r="885" spans="1:8" x14ac:dyDescent="0.3">
      <c r="A885" s="31">
        <v>4</v>
      </c>
      <c r="B885" s="121">
        <v>22020301</v>
      </c>
      <c r="C885" s="122" t="s">
        <v>220</v>
      </c>
      <c r="D885" s="123">
        <v>1500000</v>
      </c>
      <c r="E885" s="52">
        <v>0</v>
      </c>
      <c r="F885" s="52">
        <v>850000</v>
      </c>
      <c r="G885" s="32">
        <f t="shared" si="45"/>
        <v>2350000</v>
      </c>
      <c r="H885" s="32" t="s">
        <v>240</v>
      </c>
    </row>
    <row r="886" spans="1:8" x14ac:dyDescent="0.3">
      <c r="A886" s="31">
        <v>5</v>
      </c>
      <c r="B886" s="121">
        <v>22020305</v>
      </c>
      <c r="C886" s="122" t="s">
        <v>233</v>
      </c>
      <c r="D886" s="123">
        <v>1000000</v>
      </c>
      <c r="E886" s="52">
        <v>0</v>
      </c>
      <c r="F886" s="52">
        <v>600000</v>
      </c>
      <c r="G886" s="32">
        <f t="shared" si="45"/>
        <v>1600000</v>
      </c>
      <c r="H886" s="32" t="s">
        <v>240</v>
      </c>
    </row>
    <row r="887" spans="1:8" ht="20.399999999999999" x14ac:dyDescent="0.3">
      <c r="A887" s="31">
        <v>6</v>
      </c>
      <c r="B887" s="121">
        <v>22020401</v>
      </c>
      <c r="C887" s="122" t="s">
        <v>222</v>
      </c>
      <c r="D887" s="123">
        <v>2000000</v>
      </c>
      <c r="E887" s="52">
        <v>0</v>
      </c>
      <c r="F887" s="52">
        <v>1500000</v>
      </c>
      <c r="G887" s="32">
        <f t="shared" si="45"/>
        <v>3500000</v>
      </c>
      <c r="H887" s="32" t="s">
        <v>240</v>
      </c>
    </row>
    <row r="888" spans="1:8" x14ac:dyDescent="0.3">
      <c r="A888" s="31">
        <v>7</v>
      </c>
      <c r="B888" s="121">
        <v>22020402</v>
      </c>
      <c r="C888" s="122" t="s">
        <v>223</v>
      </c>
      <c r="D888" s="123">
        <v>1000000</v>
      </c>
      <c r="E888" s="52">
        <v>0</v>
      </c>
      <c r="F888" s="52">
        <v>730000</v>
      </c>
      <c r="G888" s="32">
        <f t="shared" si="45"/>
        <v>1730000</v>
      </c>
      <c r="H888" s="32" t="s">
        <v>240</v>
      </c>
    </row>
    <row r="889" spans="1:8" x14ac:dyDescent="0.3">
      <c r="A889" s="31">
        <v>8</v>
      </c>
      <c r="B889" s="121">
        <v>22020501</v>
      </c>
      <c r="C889" s="122" t="s">
        <v>225</v>
      </c>
      <c r="D889" s="123">
        <v>1220000</v>
      </c>
      <c r="E889" s="52">
        <v>0</v>
      </c>
      <c r="F889" s="52">
        <v>1300000</v>
      </c>
      <c r="G889" s="32">
        <f t="shared" si="45"/>
        <v>2520000</v>
      </c>
      <c r="H889" s="32" t="s">
        <v>240</v>
      </c>
    </row>
    <row r="890" spans="1:8" ht="14.25" customHeight="1" x14ac:dyDescent="0.3">
      <c r="A890" s="31">
        <v>9</v>
      </c>
      <c r="B890" s="121">
        <v>22020503</v>
      </c>
      <c r="C890" s="122" t="s">
        <v>236</v>
      </c>
      <c r="D890" s="123">
        <v>2000000</v>
      </c>
      <c r="E890" s="52">
        <v>0</v>
      </c>
      <c r="F890" s="52">
        <v>1000000</v>
      </c>
      <c r="G890" s="32">
        <f t="shared" si="45"/>
        <v>3000000</v>
      </c>
      <c r="H890" s="32" t="s">
        <v>240</v>
      </c>
    </row>
    <row r="891" spans="1:8" x14ac:dyDescent="0.3">
      <c r="A891" s="31">
        <v>10</v>
      </c>
      <c r="B891" s="121">
        <v>22021001</v>
      </c>
      <c r="C891" s="122" t="s">
        <v>229</v>
      </c>
      <c r="D891" s="123">
        <v>1200000</v>
      </c>
      <c r="E891" s="52">
        <v>0</v>
      </c>
      <c r="F891" s="52">
        <v>700000</v>
      </c>
      <c r="G891" s="32">
        <f t="shared" si="45"/>
        <v>1900000</v>
      </c>
      <c r="H891" s="32" t="s">
        <v>240</v>
      </c>
    </row>
    <row r="892" spans="1:8" x14ac:dyDescent="0.3">
      <c r="A892" s="31">
        <v>11</v>
      </c>
      <c r="B892" s="121">
        <v>22021006</v>
      </c>
      <c r="C892" s="122" t="s">
        <v>287</v>
      </c>
      <c r="D892" s="123">
        <v>0</v>
      </c>
      <c r="E892" s="52">
        <v>0</v>
      </c>
      <c r="F892" s="52">
        <v>0</v>
      </c>
      <c r="G892" s="32">
        <f t="shared" si="45"/>
        <v>0</v>
      </c>
      <c r="H892" s="31"/>
    </row>
    <row r="893" spans="1:8" x14ac:dyDescent="0.3">
      <c r="A893" s="31">
        <v>12</v>
      </c>
      <c r="B893" s="121">
        <v>22021007</v>
      </c>
      <c r="C893" s="122" t="s">
        <v>230</v>
      </c>
      <c r="D893" s="123">
        <v>1500000</v>
      </c>
      <c r="E893" s="52">
        <v>0</v>
      </c>
      <c r="F893" s="52">
        <v>520000</v>
      </c>
      <c r="G893" s="32">
        <f t="shared" si="45"/>
        <v>2020000</v>
      </c>
      <c r="H893" s="32" t="s">
        <v>240</v>
      </c>
    </row>
    <row r="894" spans="1:8" x14ac:dyDescent="0.3">
      <c r="A894" s="588" t="s">
        <v>23</v>
      </c>
      <c r="B894" s="588"/>
      <c r="C894" s="588"/>
      <c r="D894" s="119">
        <f>SUM(D809:D893)</f>
        <v>1870820000</v>
      </c>
      <c r="E894" s="117">
        <f t="shared" ref="E894:F894" si="46">SUM(E882:E893)</f>
        <v>0</v>
      </c>
      <c r="F894" s="117">
        <f t="shared" si="46"/>
        <v>10000000</v>
      </c>
      <c r="G894" s="117">
        <f>SUM(G882:G893)</f>
        <v>26820000</v>
      </c>
      <c r="H894" s="338"/>
    </row>
    <row r="907" spans="1:8" x14ac:dyDescent="0.3">
      <c r="A907" s="587" t="s">
        <v>213</v>
      </c>
      <c r="B907" s="587"/>
      <c r="C907" s="587"/>
      <c r="D907" s="587"/>
      <c r="E907" s="587"/>
      <c r="F907" s="587"/>
      <c r="G907" s="587"/>
      <c r="H907" s="587"/>
    </row>
    <row r="908" spans="1:8" x14ac:dyDescent="0.3">
      <c r="A908" s="587" t="s">
        <v>1159</v>
      </c>
      <c r="B908" s="587"/>
      <c r="C908" s="587"/>
      <c r="D908" s="587"/>
      <c r="E908" s="587"/>
      <c r="F908" s="587"/>
      <c r="G908" s="587"/>
      <c r="H908" s="587"/>
    </row>
    <row r="909" spans="1:8" x14ac:dyDescent="0.3">
      <c r="A909" s="587" t="s">
        <v>215</v>
      </c>
      <c r="B909" s="587"/>
      <c r="C909" s="587"/>
      <c r="D909" s="587"/>
      <c r="E909" s="587"/>
      <c r="F909" s="587"/>
      <c r="G909" s="587"/>
      <c r="H909" s="587"/>
    </row>
    <row r="910" spans="1:8" x14ac:dyDescent="0.3">
      <c r="A910" s="336"/>
      <c r="B910" s="336"/>
      <c r="C910" s="336"/>
      <c r="D910" s="336"/>
      <c r="E910" s="336"/>
      <c r="F910" s="336"/>
      <c r="G910" s="336"/>
    </row>
    <row r="911" spans="1:8" x14ac:dyDescent="0.3">
      <c r="A911" s="33" t="s">
        <v>664</v>
      </c>
      <c r="B911" s="33"/>
      <c r="C911" s="33"/>
      <c r="D911" s="33"/>
      <c r="E911" s="33"/>
      <c r="F911" s="33"/>
      <c r="G911" s="34"/>
    </row>
    <row r="912" spans="1:8" x14ac:dyDescent="0.3">
      <c r="A912" s="34"/>
      <c r="B912" s="336"/>
      <c r="C912" s="34"/>
      <c r="D912" s="34"/>
      <c r="E912" s="34"/>
      <c r="F912" s="34"/>
      <c r="G912" s="34"/>
    </row>
    <row r="913" spans="1:8" x14ac:dyDescent="0.3">
      <c r="A913" s="337" t="s">
        <v>665</v>
      </c>
      <c r="B913" s="337"/>
      <c r="C913" s="337"/>
      <c r="D913" s="34"/>
      <c r="E913" s="34"/>
      <c r="F913" s="34"/>
      <c r="G913" s="34"/>
    </row>
    <row r="914" spans="1:8" ht="24" x14ac:dyDescent="0.3">
      <c r="A914" s="142" t="s">
        <v>0</v>
      </c>
      <c r="B914" s="142" t="s">
        <v>20</v>
      </c>
      <c r="C914" s="142" t="s">
        <v>21</v>
      </c>
      <c r="D914" s="142" t="s">
        <v>214</v>
      </c>
      <c r="E914" s="142" t="s">
        <v>53</v>
      </c>
      <c r="F914" s="142" t="s">
        <v>22</v>
      </c>
      <c r="G914" s="142" t="s">
        <v>1160</v>
      </c>
      <c r="H914" s="142" t="s">
        <v>44</v>
      </c>
    </row>
    <row r="915" spans="1:8" x14ac:dyDescent="0.3">
      <c r="A915" s="31">
        <v>1</v>
      </c>
      <c r="B915" s="121">
        <v>22020102</v>
      </c>
      <c r="C915" s="122" t="s">
        <v>216</v>
      </c>
      <c r="D915" s="123">
        <v>6000000</v>
      </c>
      <c r="E915" s="143">
        <v>0</v>
      </c>
      <c r="F915" s="143">
        <v>0</v>
      </c>
      <c r="G915" s="32">
        <f t="shared" ref="G915:G929" si="47">D915-E915+F915</f>
        <v>6000000</v>
      </c>
      <c r="H915" s="31"/>
    </row>
    <row r="916" spans="1:8" x14ac:dyDescent="0.3">
      <c r="A916" s="31">
        <v>2</v>
      </c>
      <c r="B916" s="121">
        <v>22020201</v>
      </c>
      <c r="C916" s="122" t="s">
        <v>217</v>
      </c>
      <c r="D916" s="123">
        <v>1500000</v>
      </c>
      <c r="E916" s="143">
        <v>0</v>
      </c>
      <c r="F916" s="143">
        <v>0</v>
      </c>
      <c r="G916" s="32">
        <f t="shared" si="47"/>
        <v>1500000</v>
      </c>
      <c r="H916" s="31"/>
    </row>
    <row r="917" spans="1:8" x14ac:dyDescent="0.3">
      <c r="A917" s="31">
        <v>3</v>
      </c>
      <c r="B917" s="121">
        <v>22020202</v>
      </c>
      <c r="C917" s="122" t="s">
        <v>218</v>
      </c>
      <c r="D917" s="123">
        <v>500000</v>
      </c>
      <c r="E917" s="143">
        <v>0</v>
      </c>
      <c r="F917" s="143">
        <v>0</v>
      </c>
      <c r="G917" s="32">
        <f t="shared" si="47"/>
        <v>500000</v>
      </c>
      <c r="H917" s="31"/>
    </row>
    <row r="918" spans="1:8" x14ac:dyDescent="0.3">
      <c r="A918" s="31">
        <v>4</v>
      </c>
      <c r="B918" s="121">
        <v>22020301</v>
      </c>
      <c r="C918" s="122" t="s">
        <v>220</v>
      </c>
      <c r="D918" s="123">
        <v>2500000</v>
      </c>
      <c r="E918" s="143">
        <v>0</v>
      </c>
      <c r="F918" s="143">
        <v>0</v>
      </c>
      <c r="G918" s="32">
        <f t="shared" si="47"/>
        <v>2500000</v>
      </c>
      <c r="H918" s="31"/>
    </row>
    <row r="919" spans="1:8" ht="20.25" customHeight="1" x14ac:dyDescent="0.3">
      <c r="A919" s="31">
        <v>5</v>
      </c>
      <c r="B919" s="121">
        <v>22020305</v>
      </c>
      <c r="C919" s="122" t="s">
        <v>233</v>
      </c>
      <c r="D919" s="123">
        <v>2000000</v>
      </c>
      <c r="E919" s="143">
        <v>0</v>
      </c>
      <c r="F919" s="143">
        <v>0</v>
      </c>
      <c r="G919" s="32">
        <f t="shared" si="47"/>
        <v>2000000</v>
      </c>
      <c r="H919" s="31"/>
    </row>
    <row r="920" spans="1:8" ht="20.399999999999999" x14ac:dyDescent="0.3">
      <c r="A920" s="31">
        <v>6</v>
      </c>
      <c r="B920" s="121">
        <v>22020401</v>
      </c>
      <c r="C920" s="122" t="s">
        <v>222</v>
      </c>
      <c r="D920" s="123">
        <v>3500000</v>
      </c>
      <c r="E920" s="143">
        <v>0</v>
      </c>
      <c r="F920" s="143">
        <v>0</v>
      </c>
      <c r="G920" s="32">
        <f t="shared" si="47"/>
        <v>3500000</v>
      </c>
      <c r="H920" s="31"/>
    </row>
    <row r="921" spans="1:8" x14ac:dyDescent="0.3">
      <c r="A921" s="31">
        <v>7</v>
      </c>
      <c r="B921" s="121">
        <v>22020402</v>
      </c>
      <c r="C921" s="122" t="s">
        <v>223</v>
      </c>
      <c r="D921" s="123">
        <v>2000000</v>
      </c>
      <c r="E921" s="143">
        <v>0</v>
      </c>
      <c r="F921" s="143">
        <v>0</v>
      </c>
      <c r="G921" s="32">
        <f t="shared" si="47"/>
        <v>2000000</v>
      </c>
      <c r="H921" s="31"/>
    </row>
    <row r="922" spans="1:8" ht="18.75" customHeight="1" x14ac:dyDescent="0.3">
      <c r="A922" s="31">
        <v>8</v>
      </c>
      <c r="B922" s="121">
        <v>22020405</v>
      </c>
      <c r="C922" s="122" t="s">
        <v>248</v>
      </c>
      <c r="D922" s="123">
        <v>3000000</v>
      </c>
      <c r="E922" s="143">
        <v>0</v>
      </c>
      <c r="F922" s="143">
        <v>0</v>
      </c>
      <c r="G922" s="32">
        <f t="shared" si="47"/>
        <v>3000000</v>
      </c>
      <c r="H922" s="31"/>
    </row>
    <row r="923" spans="1:8" x14ac:dyDescent="0.3">
      <c r="A923" s="31">
        <v>9</v>
      </c>
      <c r="B923" s="121">
        <v>22020501</v>
      </c>
      <c r="C923" s="122" t="s">
        <v>225</v>
      </c>
      <c r="D923" s="123">
        <v>4500000</v>
      </c>
      <c r="E923" s="143">
        <v>0</v>
      </c>
      <c r="F923" s="143">
        <v>0</v>
      </c>
      <c r="G923" s="32">
        <f t="shared" si="47"/>
        <v>4500000</v>
      </c>
      <c r="H923" s="31"/>
    </row>
    <row r="924" spans="1:8" x14ac:dyDescent="0.3">
      <c r="A924" s="31">
        <v>10</v>
      </c>
      <c r="B924" s="121">
        <v>22020712</v>
      </c>
      <c r="C924" s="122" t="s">
        <v>242</v>
      </c>
      <c r="D924" s="123">
        <v>500000</v>
      </c>
      <c r="E924" s="143">
        <v>0</v>
      </c>
      <c r="F924" s="143">
        <v>0</v>
      </c>
      <c r="G924" s="32">
        <f t="shared" si="47"/>
        <v>500000</v>
      </c>
      <c r="H924" s="31"/>
    </row>
    <row r="925" spans="1:8" x14ac:dyDescent="0.3">
      <c r="A925" s="31">
        <v>11</v>
      </c>
      <c r="B925" s="121">
        <v>22021001</v>
      </c>
      <c r="C925" s="122" t="s">
        <v>229</v>
      </c>
      <c r="D925" s="123">
        <v>1500000</v>
      </c>
      <c r="E925" s="143">
        <v>0</v>
      </c>
      <c r="F925" s="143">
        <v>0</v>
      </c>
      <c r="G925" s="32">
        <f t="shared" si="47"/>
        <v>1500000</v>
      </c>
      <c r="H925" s="31"/>
    </row>
    <row r="926" spans="1:8" x14ac:dyDescent="0.3">
      <c r="A926" s="31">
        <v>12</v>
      </c>
      <c r="B926" s="121">
        <v>22021003</v>
      </c>
      <c r="C926" s="122" t="s">
        <v>259</v>
      </c>
      <c r="D926" s="123">
        <v>2000000</v>
      </c>
      <c r="E926" s="143">
        <v>0</v>
      </c>
      <c r="F926" s="143">
        <v>0</v>
      </c>
      <c r="G926" s="32">
        <f t="shared" si="47"/>
        <v>2000000</v>
      </c>
      <c r="H926" s="31"/>
    </row>
    <row r="927" spans="1:8" x14ac:dyDescent="0.3">
      <c r="A927" s="31">
        <v>13</v>
      </c>
      <c r="B927" s="121">
        <v>22021007</v>
      </c>
      <c r="C927" s="122" t="s">
        <v>230</v>
      </c>
      <c r="D927" s="123">
        <v>1500000</v>
      </c>
      <c r="E927" s="143">
        <v>0</v>
      </c>
      <c r="F927" s="143">
        <v>0</v>
      </c>
      <c r="G927" s="32">
        <f t="shared" si="47"/>
        <v>1500000</v>
      </c>
      <c r="H927" s="31"/>
    </row>
    <row r="928" spans="1:8" x14ac:dyDescent="0.3">
      <c r="A928" s="31">
        <v>14</v>
      </c>
      <c r="B928" s="121">
        <v>22021052</v>
      </c>
      <c r="C928" s="122" t="s">
        <v>252</v>
      </c>
      <c r="D928" s="123">
        <v>3000000</v>
      </c>
      <c r="E928" s="143">
        <v>0</v>
      </c>
      <c r="F928" s="143">
        <v>0</v>
      </c>
      <c r="G928" s="32">
        <f t="shared" si="47"/>
        <v>3000000</v>
      </c>
      <c r="H928" s="31"/>
    </row>
    <row r="929" spans="1:8" x14ac:dyDescent="0.3">
      <c r="A929" s="31">
        <v>15</v>
      </c>
      <c r="B929" s="121">
        <v>22021060</v>
      </c>
      <c r="C929" s="122" t="s">
        <v>231</v>
      </c>
      <c r="D929" s="143">
        <v>0</v>
      </c>
      <c r="E929" s="143">
        <v>0</v>
      </c>
      <c r="F929" s="143">
        <v>10000000</v>
      </c>
      <c r="G929" s="32">
        <f t="shared" si="47"/>
        <v>10000000</v>
      </c>
      <c r="H929" s="32" t="s">
        <v>240</v>
      </c>
    </row>
    <row r="930" spans="1:8" x14ac:dyDescent="0.3">
      <c r="A930" s="588" t="s">
        <v>23</v>
      </c>
      <c r="B930" s="588"/>
      <c r="C930" s="588"/>
      <c r="D930" s="119">
        <f>SUM(D914:D929)</f>
        <v>34000000</v>
      </c>
      <c r="E930" s="117">
        <f>SUM(E914:E929)</f>
        <v>0</v>
      </c>
      <c r="F930" s="117">
        <f>SUM(F914:F929)</f>
        <v>10000000</v>
      </c>
      <c r="G930" s="119">
        <f>SUM(G914:G929)</f>
        <v>44000000</v>
      </c>
      <c r="H930" s="338"/>
    </row>
    <row r="939" spans="1:8" x14ac:dyDescent="0.3">
      <c r="A939" s="587" t="s">
        <v>213</v>
      </c>
      <c r="B939" s="587"/>
      <c r="C939" s="587"/>
      <c r="D939" s="587"/>
      <c r="E939" s="587"/>
      <c r="F939" s="587"/>
      <c r="G939" s="587"/>
      <c r="H939" s="587"/>
    </row>
    <row r="940" spans="1:8" x14ac:dyDescent="0.3">
      <c r="A940" s="587" t="s">
        <v>1159</v>
      </c>
      <c r="B940" s="587"/>
      <c r="C940" s="587"/>
      <c r="D940" s="587"/>
      <c r="E940" s="587"/>
      <c r="F940" s="587"/>
      <c r="G940" s="587"/>
      <c r="H940" s="587"/>
    </row>
    <row r="941" spans="1:8" x14ac:dyDescent="0.3">
      <c r="A941" s="587" t="s">
        <v>215</v>
      </c>
      <c r="B941" s="587"/>
      <c r="C941" s="587"/>
      <c r="D941" s="587"/>
      <c r="E941" s="587"/>
      <c r="F941" s="587"/>
      <c r="G941" s="587"/>
      <c r="H941" s="587"/>
    </row>
    <row r="942" spans="1:8" x14ac:dyDescent="0.3">
      <c r="A942" s="336"/>
      <c r="B942" s="336"/>
      <c r="C942" s="336"/>
      <c r="D942" s="336"/>
      <c r="E942" s="336"/>
      <c r="F942" s="336"/>
      <c r="G942" s="336"/>
    </row>
    <row r="943" spans="1:8" x14ac:dyDescent="0.3">
      <c r="A943" s="33" t="s">
        <v>1056</v>
      </c>
      <c r="B943" s="33"/>
      <c r="C943" s="33"/>
      <c r="D943" s="33"/>
      <c r="E943" s="33"/>
      <c r="F943" s="33"/>
      <c r="G943" s="34"/>
    </row>
    <row r="944" spans="1:8" x14ac:dyDescent="0.3">
      <c r="A944" s="34"/>
      <c r="B944" s="336"/>
      <c r="C944" s="34"/>
      <c r="D944" s="34"/>
      <c r="E944" s="34"/>
      <c r="F944" s="34"/>
      <c r="G944" s="34"/>
    </row>
    <row r="945" spans="1:8" x14ac:dyDescent="0.3">
      <c r="A945" s="337" t="s">
        <v>1064</v>
      </c>
      <c r="B945" s="337"/>
      <c r="C945" s="337"/>
      <c r="D945" s="34"/>
      <c r="E945" s="34"/>
      <c r="F945" s="34"/>
      <c r="G945" s="34"/>
    </row>
    <row r="946" spans="1:8" ht="24" x14ac:dyDescent="0.3">
      <c r="A946" s="142" t="s">
        <v>0</v>
      </c>
      <c r="B946" s="142" t="s">
        <v>20</v>
      </c>
      <c r="C946" s="142" t="s">
        <v>21</v>
      </c>
      <c r="D946" s="142" t="s">
        <v>214</v>
      </c>
      <c r="E946" s="142" t="s">
        <v>53</v>
      </c>
      <c r="F946" s="142" t="s">
        <v>22</v>
      </c>
      <c r="G946" s="142" t="s">
        <v>1160</v>
      </c>
      <c r="H946" s="142" t="s">
        <v>44</v>
      </c>
    </row>
    <row r="947" spans="1:8" x14ac:dyDescent="0.3">
      <c r="A947" s="31">
        <v>1</v>
      </c>
      <c r="B947" s="121">
        <v>22020102</v>
      </c>
      <c r="C947" s="122" t="s">
        <v>216</v>
      </c>
      <c r="D947" s="123">
        <v>20000000</v>
      </c>
      <c r="E947" s="32">
        <v>0</v>
      </c>
      <c r="F947" s="32">
        <v>0</v>
      </c>
      <c r="G947" s="32">
        <f t="shared" ref="G947:G968" si="48">D947-E947+F947</f>
        <v>20000000</v>
      </c>
      <c r="H947" s="31"/>
    </row>
    <row r="948" spans="1:8" x14ac:dyDescent="0.3">
      <c r="A948" s="31">
        <v>2</v>
      </c>
      <c r="B948" s="121">
        <v>22020104</v>
      </c>
      <c r="C948" s="122" t="s">
        <v>260</v>
      </c>
      <c r="D948" s="123">
        <v>20000000</v>
      </c>
      <c r="E948" s="32">
        <v>18000000</v>
      </c>
      <c r="F948" s="32">
        <v>0</v>
      </c>
      <c r="G948" s="32">
        <f t="shared" si="48"/>
        <v>2000000</v>
      </c>
      <c r="H948" s="31"/>
    </row>
    <row r="949" spans="1:8" x14ac:dyDescent="0.3">
      <c r="A949" s="31">
        <v>3</v>
      </c>
      <c r="B949" s="121">
        <v>22020201</v>
      </c>
      <c r="C949" s="122" t="s">
        <v>217</v>
      </c>
      <c r="D949" s="123">
        <v>2000000</v>
      </c>
      <c r="E949" s="32">
        <v>0</v>
      </c>
      <c r="F949" s="32">
        <v>0</v>
      </c>
      <c r="G949" s="32">
        <f t="shared" si="48"/>
        <v>2000000</v>
      </c>
      <c r="H949" s="31"/>
    </row>
    <row r="950" spans="1:8" x14ac:dyDescent="0.3">
      <c r="A950" s="31">
        <v>4</v>
      </c>
      <c r="B950" s="121">
        <v>22020202</v>
      </c>
      <c r="C950" s="122" t="s">
        <v>218</v>
      </c>
      <c r="D950" s="123">
        <v>1500000</v>
      </c>
      <c r="E950" s="32">
        <v>0</v>
      </c>
      <c r="F950" s="32">
        <v>0</v>
      </c>
      <c r="G950" s="32">
        <f t="shared" si="48"/>
        <v>1500000</v>
      </c>
      <c r="H950" s="31"/>
    </row>
    <row r="951" spans="1:8" x14ac:dyDescent="0.3">
      <c r="A951" s="31">
        <v>5</v>
      </c>
      <c r="B951" s="121">
        <v>22020203</v>
      </c>
      <c r="C951" s="122" t="s">
        <v>219</v>
      </c>
      <c r="D951" s="123">
        <v>1500000</v>
      </c>
      <c r="E951" s="32">
        <v>0</v>
      </c>
      <c r="F951" s="32">
        <v>0</v>
      </c>
      <c r="G951" s="32">
        <f t="shared" si="48"/>
        <v>1500000</v>
      </c>
      <c r="H951" s="31"/>
    </row>
    <row r="952" spans="1:8" x14ac:dyDescent="0.3">
      <c r="A952" s="31">
        <v>6</v>
      </c>
      <c r="B952" s="121">
        <v>22020206</v>
      </c>
      <c r="C952" s="122" t="s">
        <v>1057</v>
      </c>
      <c r="D952" s="123">
        <v>1000000</v>
      </c>
      <c r="E952" s="32">
        <v>0</v>
      </c>
      <c r="F952" s="32">
        <v>0</v>
      </c>
      <c r="G952" s="32">
        <f t="shared" si="48"/>
        <v>1000000</v>
      </c>
      <c r="H952" s="31"/>
    </row>
    <row r="953" spans="1:8" x14ac:dyDescent="0.3">
      <c r="A953" s="31">
        <v>7</v>
      </c>
      <c r="B953" s="121">
        <v>22020301</v>
      </c>
      <c r="C953" s="122" t="s">
        <v>220</v>
      </c>
      <c r="D953" s="123">
        <v>10000000</v>
      </c>
      <c r="E953" s="32">
        <v>0</v>
      </c>
      <c r="F953" s="32">
        <v>0</v>
      </c>
      <c r="G953" s="32">
        <f t="shared" si="48"/>
        <v>10000000</v>
      </c>
      <c r="H953" s="31"/>
    </row>
    <row r="954" spans="1:8" x14ac:dyDescent="0.3">
      <c r="A954" s="31">
        <v>8</v>
      </c>
      <c r="B954" s="121">
        <v>22020303</v>
      </c>
      <c r="C954" s="122" t="s">
        <v>276</v>
      </c>
      <c r="D954" s="123">
        <v>1000000</v>
      </c>
      <c r="E954" s="32">
        <v>0</v>
      </c>
      <c r="F954" s="32">
        <v>0</v>
      </c>
      <c r="G954" s="32">
        <f t="shared" si="48"/>
        <v>1000000</v>
      </c>
      <c r="H954" s="31"/>
    </row>
    <row r="955" spans="1:8" x14ac:dyDescent="0.3">
      <c r="A955" s="31">
        <v>9</v>
      </c>
      <c r="B955" s="121">
        <v>22020304</v>
      </c>
      <c r="C955" s="122" t="s">
        <v>241</v>
      </c>
      <c r="D955" s="123">
        <v>8000000</v>
      </c>
      <c r="E955" s="32">
        <v>0</v>
      </c>
      <c r="F955" s="32">
        <v>0</v>
      </c>
      <c r="G955" s="32">
        <f t="shared" si="48"/>
        <v>8000000</v>
      </c>
      <c r="H955" s="31"/>
    </row>
    <row r="956" spans="1:8" x14ac:dyDescent="0.3">
      <c r="A956" s="31">
        <v>10</v>
      </c>
      <c r="B956" s="121">
        <v>22020305</v>
      </c>
      <c r="C956" s="122" t="s">
        <v>233</v>
      </c>
      <c r="D956" s="123">
        <v>3000000</v>
      </c>
      <c r="E956" s="32">
        <v>0</v>
      </c>
      <c r="F956" s="32">
        <v>2000000</v>
      </c>
      <c r="G956" s="32">
        <f t="shared" si="48"/>
        <v>5000000</v>
      </c>
      <c r="H956" s="31"/>
    </row>
    <row r="957" spans="1:8" x14ac:dyDescent="0.3">
      <c r="A957" s="31">
        <v>11</v>
      </c>
      <c r="B957" s="121">
        <v>22020306</v>
      </c>
      <c r="C957" s="122" t="s">
        <v>221</v>
      </c>
      <c r="D957" s="123">
        <v>7000000</v>
      </c>
      <c r="E957" s="32">
        <v>0</v>
      </c>
      <c r="F957" s="32">
        <v>0</v>
      </c>
      <c r="G957" s="32">
        <f t="shared" si="48"/>
        <v>7000000</v>
      </c>
      <c r="H957" s="31"/>
    </row>
    <row r="958" spans="1:8" x14ac:dyDescent="0.3">
      <c r="A958" s="31">
        <v>12</v>
      </c>
      <c r="B958" s="121">
        <v>22020307</v>
      </c>
      <c r="C958" s="122" t="s">
        <v>308</v>
      </c>
      <c r="D958" s="123">
        <v>500000</v>
      </c>
      <c r="E958" s="32">
        <v>0</v>
      </c>
      <c r="F958" s="32">
        <v>0</v>
      </c>
      <c r="G958" s="32">
        <f t="shared" si="48"/>
        <v>500000</v>
      </c>
      <c r="H958" s="31"/>
    </row>
    <row r="959" spans="1:8" x14ac:dyDescent="0.3">
      <c r="A959" s="31">
        <v>13</v>
      </c>
      <c r="B959" s="121">
        <v>22020309</v>
      </c>
      <c r="C959" s="122" t="s">
        <v>1058</v>
      </c>
      <c r="D959" s="123">
        <v>50000000</v>
      </c>
      <c r="E959" s="32">
        <v>0</v>
      </c>
      <c r="F959" s="32">
        <v>8000000</v>
      </c>
      <c r="G959" s="32">
        <f t="shared" si="48"/>
        <v>58000000</v>
      </c>
      <c r="H959" s="31"/>
    </row>
    <row r="960" spans="1:8" ht="20.399999999999999" x14ac:dyDescent="0.3">
      <c r="A960" s="31">
        <v>14</v>
      </c>
      <c r="B960" s="121">
        <v>22020401</v>
      </c>
      <c r="C960" s="122" t="s">
        <v>222</v>
      </c>
      <c r="D960" s="123">
        <v>7000000</v>
      </c>
      <c r="E960" s="32">
        <v>0</v>
      </c>
      <c r="F960" s="32">
        <v>0</v>
      </c>
      <c r="G960" s="32">
        <f t="shared" si="48"/>
        <v>7000000</v>
      </c>
      <c r="H960" s="31"/>
    </row>
    <row r="961" spans="1:8" x14ac:dyDescent="0.3">
      <c r="A961" s="31">
        <v>15</v>
      </c>
      <c r="B961" s="121">
        <v>22020402</v>
      </c>
      <c r="C961" s="122" t="s">
        <v>223</v>
      </c>
      <c r="D961" s="123">
        <v>3000000</v>
      </c>
      <c r="E961" s="32">
        <v>0</v>
      </c>
      <c r="F961" s="32">
        <v>0</v>
      </c>
      <c r="G961" s="32">
        <f t="shared" si="48"/>
        <v>3000000</v>
      </c>
      <c r="H961" s="31"/>
    </row>
    <row r="962" spans="1:8" ht="20.399999999999999" x14ac:dyDescent="0.3">
      <c r="A962" s="31">
        <v>16</v>
      </c>
      <c r="B962" s="121">
        <v>22020403</v>
      </c>
      <c r="C962" s="122" t="s">
        <v>247</v>
      </c>
      <c r="D962" s="123">
        <v>2000000</v>
      </c>
      <c r="E962" s="32">
        <v>0</v>
      </c>
      <c r="F962" s="32">
        <v>0</v>
      </c>
      <c r="G962" s="32">
        <f t="shared" si="48"/>
        <v>2000000</v>
      </c>
      <c r="H962" s="31"/>
    </row>
    <row r="963" spans="1:8" x14ac:dyDescent="0.3">
      <c r="A963" s="31">
        <v>17</v>
      </c>
      <c r="B963" s="121">
        <v>22020404</v>
      </c>
      <c r="C963" s="122" t="s">
        <v>235</v>
      </c>
      <c r="D963" s="123">
        <v>1000000</v>
      </c>
      <c r="E963" s="32">
        <v>0</v>
      </c>
      <c r="F963" s="32">
        <v>0</v>
      </c>
      <c r="G963" s="32">
        <f t="shared" si="48"/>
        <v>1000000</v>
      </c>
      <c r="H963" s="31"/>
    </row>
    <row r="964" spans="1:8" x14ac:dyDescent="0.3">
      <c r="A964" s="31">
        <v>18</v>
      </c>
      <c r="B964" s="121">
        <v>22020405</v>
      </c>
      <c r="C964" s="122" t="s">
        <v>248</v>
      </c>
      <c r="D964" s="123">
        <v>2000000</v>
      </c>
      <c r="E964" s="32">
        <v>0</v>
      </c>
      <c r="F964" s="32">
        <v>0</v>
      </c>
      <c r="G964" s="32">
        <f t="shared" si="48"/>
        <v>2000000</v>
      </c>
      <c r="H964" s="31"/>
    </row>
    <row r="965" spans="1:8" x14ac:dyDescent="0.3">
      <c r="A965" s="31">
        <v>19</v>
      </c>
      <c r="B965" s="121">
        <v>22020406</v>
      </c>
      <c r="C965" s="122" t="s">
        <v>224</v>
      </c>
      <c r="D965" s="123">
        <v>3000000</v>
      </c>
      <c r="E965" s="32">
        <v>0</v>
      </c>
      <c r="F965" s="32">
        <v>0</v>
      </c>
      <c r="G965" s="32">
        <f t="shared" si="48"/>
        <v>3000000</v>
      </c>
      <c r="H965" s="31"/>
    </row>
    <row r="966" spans="1:8" x14ac:dyDescent="0.3">
      <c r="A966" s="31">
        <v>20</v>
      </c>
      <c r="B966" s="121">
        <v>22020410</v>
      </c>
      <c r="C966" s="122" t="s">
        <v>695</v>
      </c>
      <c r="D966" s="123">
        <v>1000000</v>
      </c>
      <c r="E966" s="32">
        <v>0</v>
      </c>
      <c r="F966" s="32">
        <v>0</v>
      </c>
      <c r="G966" s="32">
        <f t="shared" si="48"/>
        <v>1000000</v>
      </c>
      <c r="H966" s="31"/>
    </row>
    <row r="967" spans="1:8" x14ac:dyDescent="0.3">
      <c r="A967" s="31">
        <v>21</v>
      </c>
      <c r="B967" s="121">
        <v>22020501</v>
      </c>
      <c r="C967" s="122" t="s">
        <v>225</v>
      </c>
      <c r="D967" s="123">
        <v>14000000</v>
      </c>
      <c r="E967" s="32">
        <v>0</v>
      </c>
      <c r="F967" s="32">
        <v>0</v>
      </c>
      <c r="G967" s="32">
        <f t="shared" si="48"/>
        <v>14000000</v>
      </c>
      <c r="H967" s="31"/>
    </row>
    <row r="968" spans="1:8" ht="12.75" customHeight="1" x14ac:dyDescent="0.3">
      <c r="A968" s="31">
        <v>22</v>
      </c>
      <c r="B968" s="121">
        <v>22020503</v>
      </c>
      <c r="C968" s="122" t="s">
        <v>236</v>
      </c>
      <c r="D968" s="123">
        <v>9500000</v>
      </c>
      <c r="E968" s="32">
        <v>0</v>
      </c>
      <c r="F968" s="32">
        <v>0</v>
      </c>
      <c r="G968" s="32">
        <f t="shared" si="48"/>
        <v>9500000</v>
      </c>
      <c r="H968" s="31"/>
    </row>
    <row r="969" spans="1:8" ht="24" x14ac:dyDescent="0.3">
      <c r="A969" s="142" t="s">
        <v>0</v>
      </c>
      <c r="B969" s="142" t="s">
        <v>20</v>
      </c>
      <c r="C969" s="142" t="s">
        <v>21</v>
      </c>
      <c r="D969" s="142" t="s">
        <v>214</v>
      </c>
      <c r="E969" s="142" t="s">
        <v>53</v>
      </c>
      <c r="F969" s="142" t="s">
        <v>22</v>
      </c>
      <c r="G969" s="142" t="s">
        <v>1160</v>
      </c>
      <c r="H969" s="142" t="s">
        <v>44</v>
      </c>
    </row>
    <row r="970" spans="1:8" ht="20.399999999999999" x14ac:dyDescent="0.3">
      <c r="A970" s="31">
        <v>23</v>
      </c>
      <c r="B970" s="121">
        <v>22020504</v>
      </c>
      <c r="C970" s="122" t="s">
        <v>279</v>
      </c>
      <c r="D970" s="123">
        <v>0</v>
      </c>
      <c r="E970" s="32">
        <v>0</v>
      </c>
      <c r="F970" s="32">
        <v>0</v>
      </c>
      <c r="G970" s="32">
        <f t="shared" ref="G970:G988" si="49">D970-E970+F970</f>
        <v>0</v>
      </c>
      <c r="H970" s="31"/>
    </row>
    <row r="971" spans="1:8" x14ac:dyDescent="0.3">
      <c r="A971" s="31">
        <v>24</v>
      </c>
      <c r="B971" s="121">
        <v>22020601</v>
      </c>
      <c r="C971" s="122" t="s">
        <v>226</v>
      </c>
      <c r="D971" s="123">
        <v>10000000</v>
      </c>
      <c r="E971" s="32">
        <v>0</v>
      </c>
      <c r="F971" s="32">
        <v>0</v>
      </c>
      <c r="G971" s="32">
        <f t="shared" si="49"/>
        <v>10000000</v>
      </c>
      <c r="H971" s="31"/>
    </row>
    <row r="972" spans="1:8" x14ac:dyDescent="0.3">
      <c r="A972" s="31">
        <v>25</v>
      </c>
      <c r="B972" s="121">
        <v>22020605</v>
      </c>
      <c r="C972" s="122" t="s">
        <v>238</v>
      </c>
      <c r="D972" s="123">
        <v>5000000</v>
      </c>
      <c r="E972" s="32">
        <v>0</v>
      </c>
      <c r="F972" s="32">
        <v>0</v>
      </c>
      <c r="G972" s="32">
        <f t="shared" si="49"/>
        <v>5000000</v>
      </c>
      <c r="H972" s="31"/>
    </row>
    <row r="973" spans="1:8" x14ac:dyDescent="0.3">
      <c r="A973" s="31">
        <v>26</v>
      </c>
      <c r="B973" s="121">
        <v>22020801</v>
      </c>
      <c r="C973" s="122" t="s">
        <v>228</v>
      </c>
      <c r="D973" s="123">
        <v>4000000</v>
      </c>
      <c r="E973" s="32">
        <v>0</v>
      </c>
      <c r="F973" s="32">
        <v>0</v>
      </c>
      <c r="G973" s="32">
        <f t="shared" si="49"/>
        <v>4000000</v>
      </c>
      <c r="H973" s="31"/>
    </row>
    <row r="974" spans="1:8" x14ac:dyDescent="0.3">
      <c r="A974" s="31">
        <v>27</v>
      </c>
      <c r="B974" s="121">
        <v>22020803</v>
      </c>
      <c r="C974" s="122" t="s">
        <v>239</v>
      </c>
      <c r="D974" s="123">
        <v>5000000</v>
      </c>
      <c r="E974" s="32">
        <v>0</v>
      </c>
      <c r="F974" s="32">
        <v>0</v>
      </c>
      <c r="G974" s="32">
        <f t="shared" si="49"/>
        <v>5000000</v>
      </c>
      <c r="H974" s="31"/>
    </row>
    <row r="975" spans="1:8" x14ac:dyDescent="0.3">
      <c r="A975" s="31">
        <v>28</v>
      </c>
      <c r="B975" s="121">
        <v>22020901</v>
      </c>
      <c r="C975" s="122" t="s">
        <v>267</v>
      </c>
      <c r="D975" s="123">
        <v>100000</v>
      </c>
      <c r="E975" s="32">
        <v>0</v>
      </c>
      <c r="F975" s="32">
        <v>0</v>
      </c>
      <c r="G975" s="32">
        <f t="shared" si="49"/>
        <v>100000</v>
      </c>
      <c r="H975" s="31"/>
    </row>
    <row r="976" spans="1:8" x14ac:dyDescent="0.3">
      <c r="A976" s="31">
        <v>29</v>
      </c>
      <c r="B976" s="121">
        <v>22021001</v>
      </c>
      <c r="C976" s="122" t="s">
        <v>229</v>
      </c>
      <c r="D976" s="123">
        <v>6000000</v>
      </c>
      <c r="E976" s="32">
        <v>0</v>
      </c>
      <c r="F976" s="32">
        <v>0</v>
      </c>
      <c r="G976" s="32">
        <f t="shared" si="49"/>
        <v>6000000</v>
      </c>
      <c r="H976" s="31"/>
    </row>
    <row r="977" spans="1:8" x14ac:dyDescent="0.3">
      <c r="A977" s="31">
        <v>30</v>
      </c>
      <c r="B977" s="121">
        <v>22021002</v>
      </c>
      <c r="C977" s="122" t="s">
        <v>243</v>
      </c>
      <c r="D977" s="123">
        <v>2000000</v>
      </c>
      <c r="E977" s="32">
        <v>0</v>
      </c>
      <c r="F977" s="32">
        <v>0</v>
      </c>
      <c r="G977" s="32">
        <f t="shared" si="49"/>
        <v>2000000</v>
      </c>
      <c r="H977" s="31"/>
    </row>
    <row r="978" spans="1:8" x14ac:dyDescent="0.3">
      <c r="A978" s="31">
        <v>31</v>
      </c>
      <c r="B978" s="121">
        <v>22021003</v>
      </c>
      <c r="C978" s="122" t="s">
        <v>259</v>
      </c>
      <c r="D978" s="123">
        <v>2000000</v>
      </c>
      <c r="E978" s="32">
        <v>0</v>
      </c>
      <c r="F978" s="32">
        <v>0</v>
      </c>
      <c r="G978" s="32">
        <f t="shared" si="49"/>
        <v>2000000</v>
      </c>
      <c r="H978" s="31"/>
    </row>
    <row r="979" spans="1:8" x14ac:dyDescent="0.3">
      <c r="A979" s="31">
        <v>32</v>
      </c>
      <c r="B979" s="121">
        <v>22021004</v>
      </c>
      <c r="C979" s="122" t="s">
        <v>1059</v>
      </c>
      <c r="D979" s="123">
        <v>12000000</v>
      </c>
      <c r="E979" s="32">
        <v>0</v>
      </c>
      <c r="F979" s="32">
        <v>0</v>
      </c>
      <c r="G979" s="32">
        <f t="shared" si="49"/>
        <v>12000000</v>
      </c>
      <c r="H979" s="31"/>
    </row>
    <row r="980" spans="1:8" x14ac:dyDescent="0.3">
      <c r="A980" s="31">
        <v>33</v>
      </c>
      <c r="B980" s="121">
        <v>22021006</v>
      </c>
      <c r="C980" s="122" t="s">
        <v>287</v>
      </c>
      <c r="D980" s="123">
        <v>3000000</v>
      </c>
      <c r="E980" s="32">
        <v>0</v>
      </c>
      <c r="F980" s="32">
        <v>0</v>
      </c>
      <c r="G980" s="32">
        <f t="shared" si="49"/>
        <v>3000000</v>
      </c>
      <c r="H980" s="31"/>
    </row>
    <row r="981" spans="1:8" x14ac:dyDescent="0.3">
      <c r="A981" s="31">
        <v>34</v>
      </c>
      <c r="B981" s="121">
        <v>22021007</v>
      </c>
      <c r="C981" s="122" t="s">
        <v>230</v>
      </c>
      <c r="D981" s="123">
        <v>55000000</v>
      </c>
      <c r="E981" s="32">
        <v>0</v>
      </c>
      <c r="F981" s="32">
        <v>8000000</v>
      </c>
      <c r="G981" s="32">
        <f t="shared" si="49"/>
        <v>63000000</v>
      </c>
      <c r="H981" s="31"/>
    </row>
    <row r="982" spans="1:8" x14ac:dyDescent="0.3">
      <c r="A982" s="31">
        <v>35</v>
      </c>
      <c r="B982" s="121">
        <v>22021008</v>
      </c>
      <c r="C982" s="122" t="s">
        <v>249</v>
      </c>
      <c r="D982" s="123">
        <v>3000000</v>
      </c>
      <c r="E982" s="32">
        <v>0</v>
      </c>
      <c r="F982" s="32">
        <v>0</v>
      </c>
      <c r="G982" s="32">
        <f t="shared" si="49"/>
        <v>3000000</v>
      </c>
      <c r="H982" s="31"/>
    </row>
    <row r="983" spans="1:8" x14ac:dyDescent="0.3">
      <c r="A983" s="31">
        <v>36</v>
      </c>
      <c r="B983" s="121">
        <v>22021020</v>
      </c>
      <c r="C983" s="122" t="s">
        <v>1060</v>
      </c>
      <c r="D983" s="123">
        <v>0</v>
      </c>
      <c r="E983" s="32">
        <v>0</v>
      </c>
      <c r="F983" s="32">
        <v>0</v>
      </c>
      <c r="G983" s="32">
        <f t="shared" si="49"/>
        <v>0</v>
      </c>
      <c r="H983" s="31"/>
    </row>
    <row r="984" spans="1:8" x14ac:dyDescent="0.3">
      <c r="A984" s="31">
        <v>37</v>
      </c>
      <c r="B984" s="121">
        <v>22021041</v>
      </c>
      <c r="C984" s="122" t="s">
        <v>266</v>
      </c>
      <c r="D984" s="123">
        <v>5900000</v>
      </c>
      <c r="E984" s="32">
        <v>0</v>
      </c>
      <c r="F984" s="32">
        <v>0</v>
      </c>
      <c r="G984" s="32">
        <f t="shared" si="49"/>
        <v>5900000</v>
      </c>
      <c r="H984" s="31"/>
    </row>
    <row r="985" spans="1:8" x14ac:dyDescent="0.3">
      <c r="A985" s="31">
        <v>38</v>
      </c>
      <c r="B985" s="121">
        <v>22021052</v>
      </c>
      <c r="C985" s="122" t="s">
        <v>252</v>
      </c>
      <c r="D985" s="123">
        <v>3000000</v>
      </c>
      <c r="E985" s="32">
        <v>0</v>
      </c>
      <c r="F985" s="32">
        <v>0</v>
      </c>
      <c r="G985" s="32">
        <f t="shared" si="49"/>
        <v>3000000</v>
      </c>
      <c r="H985" s="31"/>
    </row>
    <row r="986" spans="1:8" x14ac:dyDescent="0.3">
      <c r="A986" s="31">
        <v>39</v>
      </c>
      <c r="B986" s="121">
        <v>22021058</v>
      </c>
      <c r="C986" s="122" t="s">
        <v>314</v>
      </c>
      <c r="D986" s="123">
        <v>11000000</v>
      </c>
      <c r="E986" s="32">
        <v>0</v>
      </c>
      <c r="F986" s="32">
        <v>0</v>
      </c>
      <c r="G986" s="32">
        <f t="shared" si="49"/>
        <v>11000000</v>
      </c>
      <c r="H986" s="31"/>
    </row>
    <row r="987" spans="1:8" x14ac:dyDescent="0.3">
      <c r="A987" s="31">
        <v>40</v>
      </c>
      <c r="B987" s="121">
        <v>22021061</v>
      </c>
      <c r="C987" s="122" t="s">
        <v>1061</v>
      </c>
      <c r="D987" s="123">
        <v>5000000</v>
      </c>
      <c r="E987" s="32">
        <v>0</v>
      </c>
      <c r="F987" s="32">
        <v>0</v>
      </c>
      <c r="G987" s="32">
        <f t="shared" si="49"/>
        <v>5000000</v>
      </c>
      <c r="H987" s="31"/>
    </row>
    <row r="988" spans="1:8" x14ac:dyDescent="0.3">
      <c r="A988" s="31">
        <v>41</v>
      </c>
      <c r="B988" s="121">
        <v>22021064</v>
      </c>
      <c r="C988" s="122" t="s">
        <v>1062</v>
      </c>
      <c r="D988" s="123">
        <v>0</v>
      </c>
      <c r="E988" s="32">
        <v>0</v>
      </c>
      <c r="F988" s="32">
        <v>0</v>
      </c>
      <c r="G988" s="32">
        <f t="shared" si="49"/>
        <v>0</v>
      </c>
      <c r="H988" s="31"/>
    </row>
    <row r="989" spans="1:8" x14ac:dyDescent="0.3">
      <c r="A989" s="588" t="s">
        <v>23</v>
      </c>
      <c r="B989" s="588"/>
      <c r="C989" s="588"/>
      <c r="D989" s="119">
        <f>SUM(D947:D988)</f>
        <v>300000000</v>
      </c>
      <c r="E989" s="119">
        <f t="shared" ref="E989:F989" si="50">SUM(E947:E988)</f>
        <v>18000000</v>
      </c>
      <c r="F989" s="119">
        <f t="shared" si="50"/>
        <v>18000000</v>
      </c>
      <c r="G989" s="119">
        <f>SUM(G947:G988)</f>
        <v>300000000</v>
      </c>
      <c r="H989" s="338"/>
    </row>
    <row r="1003" spans="1:8" x14ac:dyDescent="0.3">
      <c r="A1003" s="587" t="s">
        <v>213</v>
      </c>
      <c r="B1003" s="587"/>
      <c r="C1003" s="587"/>
      <c r="D1003" s="587"/>
      <c r="E1003" s="587"/>
      <c r="F1003" s="587"/>
      <c r="G1003" s="587"/>
      <c r="H1003" s="587"/>
    </row>
    <row r="1004" spans="1:8" x14ac:dyDescent="0.3">
      <c r="A1004" s="587" t="s">
        <v>1159</v>
      </c>
      <c r="B1004" s="587"/>
      <c r="C1004" s="587"/>
      <c r="D1004" s="587"/>
      <c r="E1004" s="587"/>
      <c r="F1004" s="587"/>
      <c r="G1004" s="587"/>
      <c r="H1004" s="587"/>
    </row>
    <row r="1005" spans="1:8" x14ac:dyDescent="0.3">
      <c r="A1005" s="587" t="s">
        <v>215</v>
      </c>
      <c r="B1005" s="587"/>
      <c r="C1005" s="587"/>
      <c r="D1005" s="587"/>
      <c r="E1005" s="587"/>
      <c r="F1005" s="587"/>
      <c r="G1005" s="587"/>
      <c r="H1005" s="587"/>
    </row>
    <row r="1006" spans="1:8" x14ac:dyDescent="0.3">
      <c r="A1006" s="336"/>
      <c r="B1006" s="336"/>
      <c r="C1006" s="336"/>
      <c r="D1006" s="336"/>
      <c r="E1006" s="336"/>
      <c r="F1006" s="336"/>
      <c r="G1006" s="336"/>
    </row>
    <row r="1007" spans="1:8" x14ac:dyDescent="0.3">
      <c r="A1007" s="33" t="s">
        <v>766</v>
      </c>
      <c r="B1007" s="33"/>
      <c r="C1007" s="33"/>
      <c r="D1007" s="33"/>
      <c r="E1007" s="33"/>
      <c r="F1007" s="33"/>
      <c r="G1007" s="34"/>
    </row>
    <row r="1008" spans="1:8" x14ac:dyDescent="0.3">
      <c r="A1008" s="34"/>
      <c r="B1008" s="336"/>
      <c r="C1008" s="34"/>
      <c r="D1008" s="34"/>
      <c r="E1008" s="34"/>
      <c r="F1008" s="34"/>
      <c r="G1008" s="34"/>
    </row>
    <row r="1009" spans="1:8" x14ac:dyDescent="0.3">
      <c r="A1009" s="337" t="s">
        <v>767</v>
      </c>
      <c r="B1009" s="337"/>
      <c r="C1009" s="337"/>
      <c r="D1009" s="34"/>
      <c r="E1009" s="34"/>
      <c r="F1009" s="34"/>
      <c r="G1009" s="34"/>
    </row>
    <row r="1010" spans="1:8" ht="24" x14ac:dyDescent="0.3">
      <c r="A1010" s="142" t="s">
        <v>0</v>
      </c>
      <c r="B1010" s="142" t="s">
        <v>20</v>
      </c>
      <c r="C1010" s="142" t="s">
        <v>21</v>
      </c>
      <c r="D1010" s="142" t="s">
        <v>214</v>
      </c>
      <c r="E1010" s="142" t="s">
        <v>53</v>
      </c>
      <c r="F1010" s="142" t="s">
        <v>22</v>
      </c>
      <c r="G1010" s="142" t="s">
        <v>1160</v>
      </c>
      <c r="H1010" s="142" t="s">
        <v>44</v>
      </c>
    </row>
    <row r="1011" spans="1:8" x14ac:dyDescent="0.3">
      <c r="A1011" s="31"/>
      <c r="B1011" s="121">
        <v>22070105</v>
      </c>
      <c r="C1011" s="122" t="s">
        <v>768</v>
      </c>
      <c r="D1011" s="123">
        <v>4900028152.6000004</v>
      </c>
      <c r="E1011" s="32">
        <v>0</v>
      </c>
      <c r="F1011" s="32">
        <v>2732200000</v>
      </c>
      <c r="G1011" s="32">
        <f>D1011-E1011+F1011</f>
        <v>7632228152.6000004</v>
      </c>
    </row>
    <row r="1012" spans="1:8" x14ac:dyDescent="0.3">
      <c r="A1012" s="588" t="s">
        <v>23</v>
      </c>
      <c r="B1012" s="588"/>
      <c r="C1012" s="588"/>
      <c r="D1012" s="119">
        <f t="shared" ref="D1012:F1012" si="51">SUM(D1011)</f>
        <v>4900028152.6000004</v>
      </c>
      <c r="E1012" s="117">
        <f t="shared" si="51"/>
        <v>0</v>
      </c>
      <c r="F1012" s="117">
        <f t="shared" si="51"/>
        <v>2732200000</v>
      </c>
      <c r="G1012" s="119">
        <f>SUM(G1011)</f>
        <v>7632228152.6000004</v>
      </c>
      <c r="H1012" s="338"/>
    </row>
    <row r="1037" spans="1:8" x14ac:dyDescent="0.3">
      <c r="A1037" s="587" t="s">
        <v>213</v>
      </c>
      <c r="B1037" s="587"/>
      <c r="C1037" s="587"/>
      <c r="D1037" s="587"/>
      <c r="E1037" s="587"/>
      <c r="F1037" s="587"/>
      <c r="G1037" s="587"/>
      <c r="H1037" s="587"/>
    </row>
    <row r="1038" spans="1:8" x14ac:dyDescent="0.3">
      <c r="A1038" s="587" t="s">
        <v>1159</v>
      </c>
      <c r="B1038" s="587"/>
      <c r="C1038" s="587"/>
      <c r="D1038" s="587"/>
      <c r="E1038" s="587"/>
      <c r="F1038" s="587"/>
      <c r="G1038" s="587"/>
      <c r="H1038" s="587"/>
    </row>
    <row r="1039" spans="1:8" x14ac:dyDescent="0.3">
      <c r="A1039" s="587" t="s">
        <v>215</v>
      </c>
      <c r="B1039" s="587"/>
      <c r="C1039" s="587"/>
      <c r="D1039" s="587"/>
      <c r="E1039" s="587"/>
      <c r="F1039" s="587"/>
      <c r="G1039" s="587"/>
      <c r="H1039" s="587"/>
    </row>
    <row r="1040" spans="1:8" x14ac:dyDescent="0.3">
      <c r="A1040" s="336"/>
      <c r="B1040" s="336"/>
      <c r="C1040" s="336"/>
      <c r="D1040" s="336"/>
      <c r="E1040" s="336"/>
      <c r="F1040" s="336"/>
      <c r="G1040" s="336"/>
    </row>
    <row r="1041" spans="1:8" x14ac:dyDescent="0.3">
      <c r="A1041" s="33" t="s">
        <v>666</v>
      </c>
      <c r="B1041" s="33"/>
      <c r="C1041" s="33"/>
      <c r="D1041" s="33"/>
      <c r="E1041" s="33"/>
      <c r="F1041" s="33"/>
      <c r="G1041" s="34"/>
    </row>
    <row r="1042" spans="1:8" x14ac:dyDescent="0.3">
      <c r="A1042" s="34"/>
      <c r="B1042" s="336"/>
      <c r="C1042" s="34"/>
      <c r="D1042" s="34"/>
      <c r="E1042" s="34"/>
      <c r="F1042" s="34"/>
      <c r="G1042" s="34"/>
    </row>
    <row r="1043" spans="1:8" x14ac:dyDescent="0.3">
      <c r="A1043" s="337" t="s">
        <v>667</v>
      </c>
      <c r="B1043" s="337"/>
      <c r="C1043" s="337"/>
      <c r="D1043" s="34"/>
      <c r="E1043" s="34"/>
      <c r="F1043" s="34"/>
      <c r="G1043" s="34"/>
    </row>
    <row r="1044" spans="1:8" ht="24" x14ac:dyDescent="0.3">
      <c r="A1044" s="142" t="s">
        <v>0</v>
      </c>
      <c r="B1044" s="142" t="s">
        <v>20</v>
      </c>
      <c r="C1044" s="142" t="s">
        <v>21</v>
      </c>
      <c r="D1044" s="142" t="s">
        <v>214</v>
      </c>
      <c r="E1044" s="142" t="s">
        <v>53</v>
      </c>
      <c r="F1044" s="142" t="s">
        <v>22</v>
      </c>
      <c r="G1044" s="142" t="s">
        <v>1160</v>
      </c>
      <c r="H1044" s="142" t="s">
        <v>44</v>
      </c>
    </row>
    <row r="1045" spans="1:8" x14ac:dyDescent="0.3">
      <c r="A1045" s="31">
        <v>1</v>
      </c>
      <c r="B1045" s="121">
        <v>22020102</v>
      </c>
      <c r="C1045" s="122" t="s">
        <v>216</v>
      </c>
      <c r="D1045" s="123">
        <v>3500000</v>
      </c>
      <c r="E1045" s="143">
        <v>0</v>
      </c>
      <c r="F1045" s="143">
        <v>0</v>
      </c>
      <c r="G1045" s="32">
        <f t="shared" ref="G1045:G1061" si="52">D1045-E1045+F1045</f>
        <v>3500000</v>
      </c>
      <c r="H1045" s="31"/>
    </row>
    <row r="1046" spans="1:8" x14ac:dyDescent="0.3">
      <c r="A1046" s="31">
        <v>2</v>
      </c>
      <c r="B1046" s="121">
        <v>22020202</v>
      </c>
      <c r="C1046" s="122" t="s">
        <v>218</v>
      </c>
      <c r="D1046" s="123">
        <v>1500000</v>
      </c>
      <c r="E1046" s="143">
        <v>0</v>
      </c>
      <c r="F1046" s="143">
        <v>0</v>
      </c>
      <c r="G1046" s="32">
        <f t="shared" si="52"/>
        <v>1500000</v>
      </c>
      <c r="H1046" s="31"/>
    </row>
    <row r="1047" spans="1:8" x14ac:dyDescent="0.3">
      <c r="A1047" s="31">
        <v>3</v>
      </c>
      <c r="B1047" s="121">
        <v>22020301</v>
      </c>
      <c r="C1047" s="122" t="s">
        <v>220</v>
      </c>
      <c r="D1047" s="123">
        <v>2000000</v>
      </c>
      <c r="E1047" s="143">
        <v>0</v>
      </c>
      <c r="F1047" s="143">
        <v>0</v>
      </c>
      <c r="G1047" s="32">
        <f t="shared" si="52"/>
        <v>2000000</v>
      </c>
      <c r="H1047" s="32"/>
    </row>
    <row r="1048" spans="1:8" ht="20.399999999999999" x14ac:dyDescent="0.3">
      <c r="A1048" s="31">
        <v>4</v>
      </c>
      <c r="B1048" s="121">
        <v>22020401</v>
      </c>
      <c r="C1048" s="122" t="s">
        <v>222</v>
      </c>
      <c r="D1048" s="123">
        <v>3000000</v>
      </c>
      <c r="E1048" s="143">
        <v>0</v>
      </c>
      <c r="F1048" s="143">
        <v>0</v>
      </c>
      <c r="G1048" s="32">
        <f t="shared" si="52"/>
        <v>3000000</v>
      </c>
      <c r="H1048" s="31"/>
    </row>
    <row r="1049" spans="1:8" x14ac:dyDescent="0.3">
      <c r="A1049" s="31">
        <v>5</v>
      </c>
      <c r="B1049" s="121">
        <v>22020402</v>
      </c>
      <c r="C1049" s="122" t="s">
        <v>223</v>
      </c>
      <c r="D1049" s="123">
        <v>1000000</v>
      </c>
      <c r="E1049" s="143">
        <v>0</v>
      </c>
      <c r="F1049" s="143">
        <v>0</v>
      </c>
      <c r="G1049" s="32">
        <f t="shared" si="52"/>
        <v>1000000</v>
      </c>
      <c r="H1049" s="31"/>
    </row>
    <row r="1050" spans="1:8" x14ac:dyDescent="0.3">
      <c r="A1050" s="31">
        <v>6</v>
      </c>
      <c r="B1050" s="121">
        <v>22020501</v>
      </c>
      <c r="C1050" s="122" t="s">
        <v>225</v>
      </c>
      <c r="D1050" s="123">
        <v>11800000</v>
      </c>
      <c r="E1050" s="143">
        <v>0</v>
      </c>
      <c r="F1050" s="32">
        <v>4000000</v>
      </c>
      <c r="G1050" s="32">
        <f t="shared" si="52"/>
        <v>15800000</v>
      </c>
      <c r="H1050" s="31" t="s">
        <v>240</v>
      </c>
    </row>
    <row r="1051" spans="1:8" x14ac:dyDescent="0.3">
      <c r="A1051" s="31">
        <v>7</v>
      </c>
      <c r="B1051" s="121">
        <v>22020502</v>
      </c>
      <c r="C1051" s="122" t="s">
        <v>269</v>
      </c>
      <c r="D1051" s="143">
        <v>0</v>
      </c>
      <c r="E1051" s="143">
        <v>0</v>
      </c>
      <c r="F1051" s="32">
        <v>2000000</v>
      </c>
      <c r="G1051" s="32">
        <f t="shared" si="52"/>
        <v>2000000</v>
      </c>
      <c r="H1051" s="31" t="s">
        <v>240</v>
      </c>
    </row>
    <row r="1052" spans="1:8" ht="14.25" customHeight="1" x14ac:dyDescent="0.3">
      <c r="A1052" s="31">
        <v>8</v>
      </c>
      <c r="B1052" s="121">
        <v>22020503</v>
      </c>
      <c r="C1052" s="122" t="s">
        <v>236</v>
      </c>
      <c r="D1052" s="123">
        <v>3200000</v>
      </c>
      <c r="E1052" s="143">
        <v>0</v>
      </c>
      <c r="F1052" s="32">
        <v>2000000</v>
      </c>
      <c r="G1052" s="32">
        <f t="shared" si="52"/>
        <v>5200000</v>
      </c>
      <c r="H1052" s="31" t="s">
        <v>240</v>
      </c>
    </row>
    <row r="1053" spans="1:8" x14ac:dyDescent="0.3">
      <c r="A1053" s="31">
        <v>9</v>
      </c>
      <c r="B1053" s="121">
        <v>22021001</v>
      </c>
      <c r="C1053" s="122" t="s">
        <v>229</v>
      </c>
      <c r="D1053" s="123">
        <v>1000000</v>
      </c>
      <c r="E1053" s="143">
        <v>0</v>
      </c>
      <c r="F1053" s="143">
        <v>0</v>
      </c>
      <c r="G1053" s="32">
        <f t="shared" si="52"/>
        <v>1000000</v>
      </c>
      <c r="H1053" s="31"/>
    </row>
    <row r="1054" spans="1:8" x14ac:dyDescent="0.3">
      <c r="A1054" s="31">
        <v>10</v>
      </c>
      <c r="B1054" s="121">
        <v>22021002</v>
      </c>
      <c r="C1054" s="122" t="s">
        <v>243</v>
      </c>
      <c r="D1054" s="123">
        <v>5000000</v>
      </c>
      <c r="E1054" s="143">
        <v>0</v>
      </c>
      <c r="F1054" s="32">
        <v>3000000</v>
      </c>
      <c r="G1054" s="32">
        <f t="shared" si="52"/>
        <v>8000000</v>
      </c>
      <c r="H1054" s="31" t="s">
        <v>240</v>
      </c>
    </row>
    <row r="1055" spans="1:8" x14ac:dyDescent="0.3">
      <c r="A1055" s="31">
        <v>11</v>
      </c>
      <c r="B1055" s="121">
        <v>22021003</v>
      </c>
      <c r="C1055" s="122" t="s">
        <v>259</v>
      </c>
      <c r="D1055" s="123">
        <v>1000000</v>
      </c>
      <c r="E1055" s="143">
        <v>0</v>
      </c>
      <c r="F1055" s="143">
        <v>0</v>
      </c>
      <c r="G1055" s="32">
        <f t="shared" si="52"/>
        <v>1000000</v>
      </c>
      <c r="H1055" s="338"/>
    </row>
    <row r="1056" spans="1:8" x14ac:dyDescent="0.3">
      <c r="A1056" s="31">
        <v>12</v>
      </c>
      <c r="B1056" s="121">
        <v>22021007</v>
      </c>
      <c r="C1056" s="122" t="s">
        <v>230</v>
      </c>
      <c r="D1056" s="123">
        <v>2000000</v>
      </c>
      <c r="E1056" s="143">
        <v>0</v>
      </c>
      <c r="F1056" s="143">
        <v>0</v>
      </c>
      <c r="G1056" s="32">
        <f t="shared" si="52"/>
        <v>2000000</v>
      </c>
      <c r="H1056" s="338"/>
    </row>
    <row r="1057" spans="1:8" x14ac:dyDescent="0.3">
      <c r="A1057" s="31">
        <v>13</v>
      </c>
      <c r="B1057" s="121">
        <v>22021009</v>
      </c>
      <c r="C1057" s="122" t="s">
        <v>268</v>
      </c>
      <c r="D1057" s="123">
        <v>4000000</v>
      </c>
      <c r="E1057" s="143">
        <v>0</v>
      </c>
      <c r="F1057" s="32">
        <v>4000000</v>
      </c>
      <c r="G1057" s="32">
        <f t="shared" si="52"/>
        <v>8000000</v>
      </c>
      <c r="H1057" s="31" t="s">
        <v>240</v>
      </c>
    </row>
    <row r="1058" spans="1:8" x14ac:dyDescent="0.3">
      <c r="A1058" s="31">
        <v>14</v>
      </c>
      <c r="B1058" s="121">
        <v>22021041</v>
      </c>
      <c r="C1058" s="122" t="s">
        <v>266</v>
      </c>
      <c r="D1058" s="123">
        <v>1000000</v>
      </c>
      <c r="E1058" s="143">
        <v>0</v>
      </c>
      <c r="F1058" s="143">
        <v>0</v>
      </c>
      <c r="G1058" s="32">
        <f t="shared" si="52"/>
        <v>1000000</v>
      </c>
      <c r="H1058" s="338"/>
    </row>
    <row r="1059" spans="1:8" x14ac:dyDescent="0.3">
      <c r="A1059" s="31">
        <v>15</v>
      </c>
      <c r="B1059" s="121">
        <v>22021052</v>
      </c>
      <c r="C1059" s="122" t="s">
        <v>252</v>
      </c>
      <c r="D1059" s="123">
        <v>3500000</v>
      </c>
      <c r="E1059" s="143">
        <v>0</v>
      </c>
      <c r="F1059" s="143">
        <v>0</v>
      </c>
      <c r="G1059" s="32">
        <f t="shared" si="52"/>
        <v>3500000</v>
      </c>
      <c r="H1059" s="338"/>
    </row>
    <row r="1060" spans="1:8" x14ac:dyDescent="0.3">
      <c r="A1060" s="31">
        <v>16</v>
      </c>
      <c r="B1060" s="121">
        <v>22021060</v>
      </c>
      <c r="C1060" s="122" t="s">
        <v>231</v>
      </c>
      <c r="D1060" s="123">
        <v>500000</v>
      </c>
      <c r="E1060" s="143">
        <v>0</v>
      </c>
      <c r="F1060" s="143">
        <v>0</v>
      </c>
      <c r="G1060" s="32">
        <f t="shared" si="52"/>
        <v>500000</v>
      </c>
      <c r="H1060" s="338"/>
    </row>
    <row r="1061" spans="1:8" x14ac:dyDescent="0.3">
      <c r="A1061" s="31">
        <v>17</v>
      </c>
      <c r="B1061" s="121">
        <v>22040105</v>
      </c>
      <c r="C1061" s="122" t="s">
        <v>681</v>
      </c>
      <c r="D1061" s="123">
        <v>28000000</v>
      </c>
      <c r="E1061" s="143">
        <v>0</v>
      </c>
      <c r="F1061" s="143">
        <v>0</v>
      </c>
      <c r="G1061" s="32">
        <f t="shared" si="52"/>
        <v>28000000</v>
      </c>
      <c r="H1061" s="338"/>
    </row>
    <row r="1062" spans="1:8" x14ac:dyDescent="0.3">
      <c r="A1062" s="588" t="s">
        <v>23</v>
      </c>
      <c r="B1062" s="588"/>
      <c r="C1062" s="588"/>
      <c r="D1062" s="119">
        <f t="shared" ref="D1062:F1062" si="53">SUM(D1045:D1061)</f>
        <v>72000000</v>
      </c>
      <c r="E1062" s="117">
        <f t="shared" si="53"/>
        <v>0</v>
      </c>
      <c r="F1062" s="119">
        <f t="shared" si="53"/>
        <v>15000000</v>
      </c>
      <c r="G1062" s="119">
        <f>SUM(G1045:G1061)</f>
        <v>87000000</v>
      </c>
      <c r="H1062" s="338"/>
    </row>
    <row r="1070" spans="1:8" x14ac:dyDescent="0.3">
      <c r="A1070" s="587" t="s">
        <v>213</v>
      </c>
      <c r="B1070" s="587"/>
      <c r="C1070" s="587"/>
      <c r="D1070" s="587"/>
      <c r="E1070" s="587"/>
      <c r="F1070" s="587"/>
      <c r="G1070" s="587"/>
      <c r="H1070" s="587"/>
    </row>
    <row r="1071" spans="1:8" x14ac:dyDescent="0.3">
      <c r="A1071" s="587" t="s">
        <v>1159</v>
      </c>
      <c r="B1071" s="587"/>
      <c r="C1071" s="587"/>
      <c r="D1071" s="587"/>
      <c r="E1071" s="587"/>
      <c r="F1071" s="587"/>
      <c r="G1071" s="587"/>
      <c r="H1071" s="587"/>
    </row>
    <row r="1072" spans="1:8" x14ac:dyDescent="0.3">
      <c r="A1072" s="587" t="s">
        <v>215</v>
      </c>
      <c r="B1072" s="587"/>
      <c r="C1072" s="587"/>
      <c r="D1072" s="587"/>
      <c r="E1072" s="587"/>
      <c r="F1072" s="587"/>
      <c r="G1072" s="587"/>
      <c r="H1072" s="587"/>
    </row>
    <row r="1073" spans="1:8" x14ac:dyDescent="0.3">
      <c r="A1073" s="336"/>
      <c r="B1073" s="336"/>
      <c r="C1073" s="336"/>
      <c r="D1073" s="336"/>
      <c r="E1073" s="336"/>
      <c r="F1073" s="336"/>
      <c r="G1073" s="336"/>
    </row>
    <row r="1074" spans="1:8" x14ac:dyDescent="0.3">
      <c r="A1074" s="346" t="s">
        <v>779</v>
      </c>
      <c r="B1074" s="33"/>
      <c r="C1074" s="33"/>
      <c r="D1074" s="33"/>
      <c r="E1074" s="33"/>
      <c r="F1074" s="33"/>
      <c r="G1074" s="34"/>
    </row>
    <row r="1075" spans="1:8" x14ac:dyDescent="0.3">
      <c r="A1075" s="34"/>
      <c r="B1075" s="336"/>
      <c r="C1075" s="34"/>
      <c r="D1075" s="34"/>
      <c r="E1075" s="34"/>
      <c r="F1075" s="34"/>
      <c r="G1075" s="34"/>
    </row>
    <row r="1076" spans="1:8" x14ac:dyDescent="0.3">
      <c r="A1076" s="337" t="s">
        <v>783</v>
      </c>
      <c r="B1076" s="337"/>
      <c r="C1076" s="337"/>
      <c r="D1076" s="34"/>
      <c r="E1076" s="34"/>
      <c r="F1076" s="34"/>
      <c r="G1076" s="34"/>
    </row>
    <row r="1077" spans="1:8" ht="24" x14ac:dyDescent="0.3">
      <c r="A1077" s="142" t="s">
        <v>0</v>
      </c>
      <c r="B1077" s="142" t="s">
        <v>20</v>
      </c>
      <c r="C1077" s="142" t="s">
        <v>21</v>
      </c>
      <c r="D1077" s="142" t="s">
        <v>214</v>
      </c>
      <c r="E1077" s="142" t="s">
        <v>53</v>
      </c>
      <c r="F1077" s="142" t="s">
        <v>22</v>
      </c>
      <c r="G1077" s="142" t="s">
        <v>1160</v>
      </c>
      <c r="H1077" s="142" t="s">
        <v>44</v>
      </c>
    </row>
    <row r="1078" spans="1:8" x14ac:dyDescent="0.3">
      <c r="A1078" s="31">
        <v>1</v>
      </c>
      <c r="B1078" s="121">
        <v>22020102</v>
      </c>
      <c r="C1078" s="122" t="s">
        <v>216</v>
      </c>
      <c r="D1078" s="123">
        <v>6318216</v>
      </c>
      <c r="E1078" s="143">
        <v>0</v>
      </c>
      <c r="F1078" s="143">
        <v>0</v>
      </c>
      <c r="G1078" s="32">
        <f t="shared" ref="G1078:G1097" si="54">D1078-E1078+F1078</f>
        <v>6318216</v>
      </c>
      <c r="H1078" s="31"/>
    </row>
    <row r="1079" spans="1:8" x14ac:dyDescent="0.3">
      <c r="A1079" s="31">
        <v>2</v>
      </c>
      <c r="B1079" s="121">
        <v>22020201</v>
      </c>
      <c r="C1079" s="122" t="s">
        <v>217</v>
      </c>
      <c r="D1079" s="123">
        <v>551412</v>
      </c>
      <c r="E1079" s="143">
        <v>0</v>
      </c>
      <c r="F1079" s="143">
        <v>0</v>
      </c>
      <c r="G1079" s="32">
        <f t="shared" si="54"/>
        <v>551412</v>
      </c>
      <c r="H1079" s="31"/>
    </row>
    <row r="1080" spans="1:8" x14ac:dyDescent="0.3">
      <c r="A1080" s="31">
        <v>3</v>
      </c>
      <c r="B1080" s="121">
        <v>22020202</v>
      </c>
      <c r="C1080" s="122" t="s">
        <v>218</v>
      </c>
      <c r="D1080" s="123">
        <v>97164</v>
      </c>
      <c r="E1080" s="143">
        <v>0</v>
      </c>
      <c r="F1080" s="143">
        <v>0</v>
      </c>
      <c r="G1080" s="32">
        <f t="shared" si="54"/>
        <v>97164</v>
      </c>
      <c r="H1080" s="31"/>
    </row>
    <row r="1081" spans="1:8" x14ac:dyDescent="0.3">
      <c r="A1081" s="31">
        <v>4</v>
      </c>
      <c r="B1081" s="121">
        <v>22020301</v>
      </c>
      <c r="C1081" s="122" t="s">
        <v>220</v>
      </c>
      <c r="D1081" s="123">
        <v>1571652</v>
      </c>
      <c r="E1081" s="143">
        <v>0</v>
      </c>
      <c r="F1081" s="143">
        <v>0</v>
      </c>
      <c r="G1081" s="32">
        <f t="shared" si="54"/>
        <v>1571652</v>
      </c>
      <c r="H1081" s="31"/>
    </row>
    <row r="1082" spans="1:8" x14ac:dyDescent="0.3">
      <c r="A1082" s="31">
        <v>5</v>
      </c>
      <c r="B1082" s="121">
        <v>22020302</v>
      </c>
      <c r="C1082" s="122" t="s">
        <v>780</v>
      </c>
      <c r="D1082" s="123">
        <v>0</v>
      </c>
      <c r="E1082" s="143">
        <v>0</v>
      </c>
      <c r="F1082" s="143">
        <v>0</v>
      </c>
      <c r="G1082" s="32">
        <f t="shared" si="54"/>
        <v>0</v>
      </c>
      <c r="H1082" s="31"/>
    </row>
    <row r="1083" spans="1:8" x14ac:dyDescent="0.3">
      <c r="A1083" s="31">
        <v>6</v>
      </c>
      <c r="B1083" s="121">
        <v>22020305</v>
      </c>
      <c r="C1083" s="122" t="s">
        <v>233</v>
      </c>
      <c r="D1083" s="123">
        <v>971652</v>
      </c>
      <c r="E1083" s="143">
        <v>0</v>
      </c>
      <c r="F1083" s="143">
        <v>0</v>
      </c>
      <c r="G1083" s="32">
        <f t="shared" si="54"/>
        <v>971652</v>
      </c>
      <c r="H1083" s="31"/>
    </row>
    <row r="1084" spans="1:8" ht="20.399999999999999" x14ac:dyDescent="0.3">
      <c r="A1084" s="31">
        <v>7</v>
      </c>
      <c r="B1084" s="121">
        <v>22020401</v>
      </c>
      <c r="C1084" s="122" t="s">
        <v>222</v>
      </c>
      <c r="D1084" s="123">
        <v>1717404</v>
      </c>
      <c r="E1084" s="143">
        <v>0</v>
      </c>
      <c r="F1084" s="143">
        <v>0</v>
      </c>
      <c r="G1084" s="32">
        <f t="shared" si="54"/>
        <v>1717404</v>
      </c>
      <c r="H1084" s="31"/>
    </row>
    <row r="1085" spans="1:8" x14ac:dyDescent="0.3">
      <c r="A1085" s="31">
        <v>8</v>
      </c>
      <c r="B1085" s="121">
        <v>22020402</v>
      </c>
      <c r="C1085" s="122" t="s">
        <v>223</v>
      </c>
      <c r="D1085" s="123">
        <v>2057544</v>
      </c>
      <c r="E1085" s="143">
        <v>0</v>
      </c>
      <c r="F1085" s="143">
        <v>0</v>
      </c>
      <c r="G1085" s="32">
        <f t="shared" si="54"/>
        <v>2057544</v>
      </c>
      <c r="H1085" s="31"/>
    </row>
    <row r="1086" spans="1:8" x14ac:dyDescent="0.3">
      <c r="A1086" s="31">
        <v>9</v>
      </c>
      <c r="B1086" s="121">
        <v>22020415</v>
      </c>
      <c r="C1086" s="122" t="s">
        <v>262</v>
      </c>
      <c r="D1086" s="123">
        <v>5000000</v>
      </c>
      <c r="E1086" s="143">
        <v>0</v>
      </c>
      <c r="F1086" s="143">
        <v>0</v>
      </c>
      <c r="G1086" s="32">
        <f t="shared" si="54"/>
        <v>5000000</v>
      </c>
      <c r="H1086" s="31"/>
    </row>
    <row r="1087" spans="1:8" x14ac:dyDescent="0.3">
      <c r="A1087" s="31">
        <v>10</v>
      </c>
      <c r="B1087" s="121">
        <v>22020501</v>
      </c>
      <c r="C1087" s="122" t="s">
        <v>225</v>
      </c>
      <c r="D1087" s="123">
        <v>1571652</v>
      </c>
      <c r="E1087" s="143">
        <v>0</v>
      </c>
      <c r="F1087" s="143">
        <v>0</v>
      </c>
      <c r="G1087" s="32">
        <f t="shared" si="54"/>
        <v>1571652</v>
      </c>
      <c r="H1087" s="31"/>
    </row>
    <row r="1088" spans="1:8" x14ac:dyDescent="0.3">
      <c r="A1088" s="31">
        <v>11</v>
      </c>
      <c r="B1088" s="121">
        <v>22020503</v>
      </c>
      <c r="C1088" s="122" t="s">
        <v>236</v>
      </c>
      <c r="D1088" s="123">
        <v>10000000</v>
      </c>
      <c r="E1088" s="143">
        <v>0</v>
      </c>
      <c r="F1088" s="143">
        <v>0</v>
      </c>
      <c r="G1088" s="32">
        <f t="shared" si="54"/>
        <v>10000000</v>
      </c>
      <c r="H1088" s="31"/>
    </row>
    <row r="1089" spans="1:8" x14ac:dyDescent="0.3">
      <c r="A1089" s="31">
        <v>12</v>
      </c>
      <c r="B1089" s="121">
        <v>22021001</v>
      </c>
      <c r="C1089" s="122" t="s">
        <v>229</v>
      </c>
      <c r="D1089" s="123">
        <v>1571652</v>
      </c>
      <c r="E1089" s="143">
        <v>0</v>
      </c>
      <c r="F1089" s="143">
        <v>0</v>
      </c>
      <c r="G1089" s="32">
        <f t="shared" si="54"/>
        <v>1571652</v>
      </c>
      <c r="H1089" s="31"/>
    </row>
    <row r="1090" spans="1:8" x14ac:dyDescent="0.3">
      <c r="A1090" s="31">
        <v>13</v>
      </c>
      <c r="B1090" s="121">
        <v>22021003</v>
      </c>
      <c r="C1090" s="122" t="s">
        <v>259</v>
      </c>
      <c r="D1090" s="123">
        <v>10000000</v>
      </c>
      <c r="E1090" s="143">
        <v>0</v>
      </c>
      <c r="F1090" s="143">
        <v>0</v>
      </c>
      <c r="G1090" s="32">
        <f t="shared" si="54"/>
        <v>10000000</v>
      </c>
      <c r="H1090" s="31"/>
    </row>
    <row r="1091" spans="1:8" x14ac:dyDescent="0.3">
      <c r="A1091" s="31">
        <v>14</v>
      </c>
      <c r="B1091" s="121">
        <v>22021007</v>
      </c>
      <c r="C1091" s="122" t="s">
        <v>230</v>
      </c>
      <c r="D1091" s="123">
        <v>52571652</v>
      </c>
      <c r="E1091" s="143">
        <v>0</v>
      </c>
      <c r="F1091" s="143">
        <v>0</v>
      </c>
      <c r="G1091" s="32">
        <f t="shared" si="54"/>
        <v>52571652</v>
      </c>
      <c r="H1091" s="31"/>
    </row>
    <row r="1092" spans="1:8" x14ac:dyDescent="0.3">
      <c r="A1092" s="31">
        <v>15</v>
      </c>
      <c r="B1092" s="121">
        <v>22021049</v>
      </c>
      <c r="C1092" s="122" t="s">
        <v>781</v>
      </c>
      <c r="D1092" s="123">
        <v>114968000</v>
      </c>
      <c r="E1092" s="143">
        <v>0</v>
      </c>
      <c r="F1092" s="32">
        <v>185032000</v>
      </c>
      <c r="G1092" s="32">
        <f t="shared" si="54"/>
        <v>300000000</v>
      </c>
      <c r="H1092" s="31"/>
    </row>
    <row r="1093" spans="1:8" x14ac:dyDescent="0.3">
      <c r="A1093" s="31">
        <v>16</v>
      </c>
      <c r="B1093" s="121">
        <v>22021052</v>
      </c>
      <c r="C1093" s="122" t="s">
        <v>252</v>
      </c>
      <c r="D1093" s="123">
        <v>40000000</v>
      </c>
      <c r="E1093" s="143">
        <v>0</v>
      </c>
      <c r="F1093" s="143">
        <v>0</v>
      </c>
      <c r="G1093" s="32">
        <f t="shared" si="54"/>
        <v>40000000</v>
      </c>
      <c r="H1093" s="31"/>
    </row>
    <row r="1094" spans="1:8" x14ac:dyDescent="0.3">
      <c r="A1094" s="31">
        <v>17</v>
      </c>
      <c r="B1094" s="121">
        <v>22021058</v>
      </c>
      <c r="C1094" s="122" t="s">
        <v>314</v>
      </c>
      <c r="D1094" s="123">
        <v>4000000</v>
      </c>
      <c r="E1094" s="143">
        <v>0</v>
      </c>
      <c r="F1094" s="143">
        <v>0</v>
      </c>
      <c r="G1094" s="32">
        <f t="shared" si="54"/>
        <v>4000000</v>
      </c>
      <c r="H1094" s="31"/>
    </row>
    <row r="1095" spans="1:8" x14ac:dyDescent="0.3">
      <c r="A1095" s="31">
        <v>18</v>
      </c>
      <c r="B1095" s="121">
        <v>22021060</v>
      </c>
      <c r="C1095" s="122" t="s">
        <v>231</v>
      </c>
      <c r="D1095" s="123">
        <v>5000000</v>
      </c>
      <c r="E1095" s="143">
        <v>0</v>
      </c>
      <c r="F1095" s="143">
        <v>0</v>
      </c>
      <c r="G1095" s="32">
        <f t="shared" si="54"/>
        <v>5000000</v>
      </c>
      <c r="H1095" s="31"/>
    </row>
    <row r="1096" spans="1:8" x14ac:dyDescent="0.3">
      <c r="A1096" s="31">
        <v>19</v>
      </c>
      <c r="B1096" s="121">
        <v>22021062</v>
      </c>
      <c r="C1096" s="122" t="s">
        <v>325</v>
      </c>
      <c r="D1096" s="123">
        <v>8000000</v>
      </c>
      <c r="E1096" s="143">
        <v>0</v>
      </c>
      <c r="F1096" s="143">
        <v>0</v>
      </c>
      <c r="G1096" s="32">
        <f t="shared" si="54"/>
        <v>8000000</v>
      </c>
      <c r="H1096" s="31"/>
    </row>
    <row r="1097" spans="1:8" x14ac:dyDescent="0.3">
      <c r="A1097" s="31">
        <v>20</v>
      </c>
      <c r="B1097" s="121">
        <v>22021063</v>
      </c>
      <c r="C1097" s="122" t="s">
        <v>782</v>
      </c>
      <c r="D1097" s="123">
        <v>5000000</v>
      </c>
      <c r="E1097" s="143">
        <v>0</v>
      </c>
      <c r="F1097" s="143">
        <v>0</v>
      </c>
      <c r="G1097" s="32">
        <f t="shared" si="54"/>
        <v>5000000</v>
      </c>
      <c r="H1097" s="31"/>
    </row>
    <row r="1098" spans="1:8" x14ac:dyDescent="0.3">
      <c r="A1098" s="588" t="s">
        <v>23</v>
      </c>
      <c r="B1098" s="588"/>
      <c r="C1098" s="588"/>
      <c r="D1098" s="119">
        <f>SUM(D1078:D1097)</f>
        <v>270968000</v>
      </c>
      <c r="E1098" s="117">
        <f t="shared" ref="E1098:F1098" si="55">SUM(E1081:E1097)</f>
        <v>0</v>
      </c>
      <c r="F1098" s="119">
        <f t="shared" si="55"/>
        <v>185032000</v>
      </c>
      <c r="G1098" s="119">
        <f>SUM(G1081:G1097)</f>
        <v>449033208</v>
      </c>
      <c r="H1098" s="338"/>
    </row>
    <row r="1099" spans="1:8" x14ac:dyDescent="0.3">
      <c r="A1099" s="430"/>
      <c r="B1099" s="431"/>
      <c r="C1099" s="432"/>
      <c r="D1099" s="433"/>
      <c r="E1099" s="430"/>
      <c r="F1099" s="430"/>
      <c r="G1099" s="430"/>
      <c r="H1099" s="430"/>
    </row>
    <row r="1100" spans="1:8" x14ac:dyDescent="0.3">
      <c r="A1100" s="430"/>
      <c r="B1100" s="431"/>
      <c r="C1100" s="432"/>
      <c r="D1100" s="433"/>
      <c r="E1100" s="430"/>
      <c r="F1100" s="430"/>
      <c r="G1100" s="430"/>
      <c r="H1100" s="430"/>
    </row>
    <row r="1101" spans="1:8" x14ac:dyDescent="0.3">
      <c r="A1101" s="430"/>
      <c r="B1101" s="431"/>
      <c r="C1101" s="432"/>
      <c r="D1101" s="433"/>
      <c r="E1101" s="430"/>
      <c r="F1101" s="430"/>
      <c r="G1101" s="430"/>
      <c r="H1101" s="430"/>
    </row>
    <row r="1102" spans="1:8" x14ac:dyDescent="0.3">
      <c r="A1102" s="587" t="s">
        <v>213</v>
      </c>
      <c r="B1102" s="587"/>
      <c r="C1102" s="587"/>
      <c r="D1102" s="587"/>
      <c r="E1102" s="587"/>
      <c r="F1102" s="587"/>
      <c r="G1102" s="587"/>
      <c r="H1102" s="587"/>
    </row>
    <row r="1103" spans="1:8" x14ac:dyDescent="0.3">
      <c r="A1103" s="587" t="s">
        <v>1159</v>
      </c>
      <c r="B1103" s="587"/>
      <c r="C1103" s="587"/>
      <c r="D1103" s="587"/>
      <c r="E1103" s="587"/>
      <c r="F1103" s="587"/>
      <c r="G1103" s="587"/>
      <c r="H1103" s="587"/>
    </row>
    <row r="1104" spans="1:8" x14ac:dyDescent="0.3">
      <c r="A1104" s="587" t="s">
        <v>215</v>
      </c>
      <c r="B1104" s="587"/>
      <c r="C1104" s="587"/>
      <c r="D1104" s="587"/>
      <c r="E1104" s="587"/>
      <c r="F1104" s="587"/>
      <c r="G1104" s="587"/>
      <c r="H1104" s="587"/>
    </row>
    <row r="1105" spans="1:8" x14ac:dyDescent="0.3">
      <c r="A1105" s="336"/>
      <c r="B1105" s="336"/>
      <c r="C1105" s="336"/>
      <c r="D1105" s="336"/>
      <c r="E1105" s="336"/>
      <c r="F1105" s="336"/>
      <c r="G1105" s="336"/>
    </row>
    <row r="1106" spans="1:8" x14ac:dyDescent="0.3">
      <c r="A1106" s="346" t="s">
        <v>712</v>
      </c>
      <c r="B1106" s="33"/>
      <c r="C1106" s="33"/>
      <c r="D1106" s="33"/>
      <c r="E1106" s="33"/>
      <c r="F1106" s="33"/>
      <c r="G1106" s="34"/>
    </row>
    <row r="1107" spans="1:8" x14ac:dyDescent="0.3">
      <c r="A1107" s="34"/>
      <c r="B1107" s="336"/>
      <c r="C1107" s="34"/>
      <c r="D1107" s="34"/>
      <c r="E1107" s="34"/>
      <c r="F1107" s="34"/>
      <c r="G1107" s="34"/>
    </row>
    <row r="1108" spans="1:8" x14ac:dyDescent="0.3">
      <c r="A1108" s="337" t="s">
        <v>687</v>
      </c>
      <c r="B1108" s="337"/>
      <c r="C1108" s="337"/>
      <c r="D1108" s="34"/>
      <c r="E1108" s="34"/>
      <c r="F1108" s="34"/>
      <c r="G1108" s="34"/>
    </row>
    <row r="1109" spans="1:8" ht="24" x14ac:dyDescent="0.3">
      <c r="A1109" s="142" t="s">
        <v>0</v>
      </c>
      <c r="B1109" s="142" t="s">
        <v>20</v>
      </c>
      <c r="C1109" s="142" t="s">
        <v>21</v>
      </c>
      <c r="D1109" s="142" t="s">
        <v>214</v>
      </c>
      <c r="E1109" s="142" t="s">
        <v>53</v>
      </c>
      <c r="F1109" s="142" t="s">
        <v>22</v>
      </c>
      <c r="G1109" s="142" t="s">
        <v>1160</v>
      </c>
      <c r="H1109" s="142" t="s">
        <v>44</v>
      </c>
    </row>
    <row r="1110" spans="1:8" x14ac:dyDescent="0.3">
      <c r="A1110" s="31">
        <v>1</v>
      </c>
      <c r="B1110" s="121">
        <v>22020102</v>
      </c>
      <c r="C1110" s="122" t="s">
        <v>216</v>
      </c>
      <c r="D1110" s="123"/>
      <c r="E1110" s="32">
        <v>0</v>
      </c>
      <c r="F1110" s="32">
        <v>2700000</v>
      </c>
      <c r="G1110" s="32">
        <f t="shared" ref="G1110:G1118" si="56">D1110-E1110+F1110</f>
        <v>2700000</v>
      </c>
      <c r="H1110" s="32" t="s">
        <v>240</v>
      </c>
    </row>
    <row r="1111" spans="1:8" x14ac:dyDescent="0.3">
      <c r="A1111" s="31">
        <v>2</v>
      </c>
      <c r="B1111" s="121">
        <v>22020201</v>
      </c>
      <c r="C1111" s="122" t="s">
        <v>217</v>
      </c>
      <c r="D1111" s="123"/>
      <c r="E1111" s="32">
        <v>0</v>
      </c>
      <c r="F1111" s="32">
        <v>300000</v>
      </c>
      <c r="G1111" s="32">
        <f t="shared" si="56"/>
        <v>300000</v>
      </c>
      <c r="H1111" s="32" t="s">
        <v>240</v>
      </c>
    </row>
    <row r="1112" spans="1:8" x14ac:dyDescent="0.3">
      <c r="A1112" s="31">
        <v>3</v>
      </c>
      <c r="B1112" s="121">
        <v>22020202</v>
      </c>
      <c r="C1112" s="122" t="s">
        <v>218</v>
      </c>
      <c r="D1112" s="123"/>
      <c r="E1112" s="32">
        <v>0</v>
      </c>
      <c r="F1112" s="32">
        <v>500000</v>
      </c>
      <c r="G1112" s="32">
        <f t="shared" si="56"/>
        <v>500000</v>
      </c>
      <c r="H1112" s="32" t="s">
        <v>240</v>
      </c>
    </row>
    <row r="1113" spans="1:8" x14ac:dyDescent="0.3">
      <c r="A1113" s="31">
        <v>4</v>
      </c>
      <c r="B1113" s="121">
        <v>22020301</v>
      </c>
      <c r="C1113" s="122" t="s">
        <v>220</v>
      </c>
      <c r="D1113" s="123"/>
      <c r="E1113" s="32">
        <v>0</v>
      </c>
      <c r="F1113" s="32">
        <v>1000000</v>
      </c>
      <c r="G1113" s="32">
        <f t="shared" si="56"/>
        <v>1000000</v>
      </c>
      <c r="H1113" s="32" t="s">
        <v>240</v>
      </c>
    </row>
    <row r="1114" spans="1:8" x14ac:dyDescent="0.3">
      <c r="A1114" s="31">
        <v>5</v>
      </c>
      <c r="B1114" s="121">
        <v>22020305</v>
      </c>
      <c r="C1114" s="122" t="s">
        <v>233</v>
      </c>
      <c r="D1114" s="123"/>
      <c r="E1114" s="32">
        <v>0</v>
      </c>
      <c r="F1114" s="32">
        <v>0</v>
      </c>
      <c r="G1114" s="32">
        <f t="shared" si="56"/>
        <v>0</v>
      </c>
      <c r="H1114" s="31"/>
    </row>
    <row r="1115" spans="1:8" ht="20.399999999999999" x14ac:dyDescent="0.3">
      <c r="A1115" s="31">
        <v>6</v>
      </c>
      <c r="B1115" s="121">
        <v>22020401</v>
      </c>
      <c r="C1115" s="122" t="s">
        <v>222</v>
      </c>
      <c r="D1115" s="123"/>
      <c r="E1115" s="32">
        <v>0</v>
      </c>
      <c r="F1115" s="32">
        <v>1000000</v>
      </c>
      <c r="G1115" s="32">
        <f t="shared" si="56"/>
        <v>1000000</v>
      </c>
      <c r="H1115" s="32" t="s">
        <v>240</v>
      </c>
    </row>
    <row r="1116" spans="1:8" x14ac:dyDescent="0.3">
      <c r="A1116" s="31">
        <v>7</v>
      </c>
      <c r="B1116" s="121">
        <v>22020402</v>
      </c>
      <c r="C1116" s="122" t="s">
        <v>223</v>
      </c>
      <c r="D1116" s="123"/>
      <c r="E1116" s="32">
        <v>0</v>
      </c>
      <c r="F1116" s="32">
        <v>500000</v>
      </c>
      <c r="G1116" s="32">
        <f t="shared" si="56"/>
        <v>500000</v>
      </c>
      <c r="H1116" s="32" t="s">
        <v>240</v>
      </c>
    </row>
    <row r="1117" spans="1:8" x14ac:dyDescent="0.3">
      <c r="A1117" s="31">
        <v>8</v>
      </c>
      <c r="B1117" s="121">
        <v>22020501</v>
      </c>
      <c r="C1117" s="122" t="s">
        <v>225</v>
      </c>
      <c r="D1117" s="123"/>
      <c r="E1117" s="32">
        <v>0</v>
      </c>
      <c r="F1117" s="32">
        <v>1000000</v>
      </c>
      <c r="G1117" s="32">
        <f t="shared" si="56"/>
        <v>1000000</v>
      </c>
      <c r="H1117" s="32" t="s">
        <v>240</v>
      </c>
    </row>
    <row r="1118" spans="1:8" x14ac:dyDescent="0.3">
      <c r="A1118" s="31">
        <v>9</v>
      </c>
      <c r="B1118" s="121">
        <v>22021007</v>
      </c>
      <c r="C1118" s="122" t="s">
        <v>230</v>
      </c>
      <c r="D1118" s="123"/>
      <c r="E1118" s="32">
        <v>0</v>
      </c>
      <c r="F1118" s="32">
        <v>3000000</v>
      </c>
      <c r="G1118" s="32">
        <f t="shared" si="56"/>
        <v>3000000</v>
      </c>
      <c r="H1118" s="32" t="s">
        <v>240</v>
      </c>
    </row>
    <row r="1119" spans="1:8" x14ac:dyDescent="0.3">
      <c r="A1119" s="589" t="s">
        <v>23</v>
      </c>
      <c r="B1119" s="589"/>
      <c r="C1119" s="589"/>
      <c r="D1119" s="119">
        <f t="shared" ref="D1119:F1119" si="57">SUM(D1110:D1118)</f>
        <v>0</v>
      </c>
      <c r="E1119" s="119">
        <f t="shared" si="57"/>
        <v>0</v>
      </c>
      <c r="F1119" s="119">
        <f t="shared" si="57"/>
        <v>10000000</v>
      </c>
      <c r="G1119" s="119">
        <f>SUM(G1110:G1118)</f>
        <v>10000000</v>
      </c>
      <c r="H1119" s="31"/>
    </row>
    <row r="1134" spans="1:8" x14ac:dyDescent="0.3">
      <c r="A1134" s="587" t="s">
        <v>213</v>
      </c>
      <c r="B1134" s="587"/>
      <c r="C1134" s="587"/>
      <c r="D1134" s="587"/>
      <c r="E1134" s="587"/>
      <c r="F1134" s="587"/>
      <c r="G1134" s="587"/>
      <c r="H1134" s="587"/>
    </row>
    <row r="1135" spans="1:8" x14ac:dyDescent="0.3">
      <c r="A1135" s="587" t="s">
        <v>1159</v>
      </c>
      <c r="B1135" s="587"/>
      <c r="C1135" s="587"/>
      <c r="D1135" s="587"/>
      <c r="E1135" s="587"/>
      <c r="F1135" s="587"/>
      <c r="G1135" s="587"/>
      <c r="H1135" s="587"/>
    </row>
    <row r="1136" spans="1:8" x14ac:dyDescent="0.3">
      <c r="A1136" s="587" t="s">
        <v>215</v>
      </c>
      <c r="B1136" s="587"/>
      <c r="C1136" s="587"/>
      <c r="D1136" s="587"/>
      <c r="E1136" s="587"/>
      <c r="F1136" s="587"/>
      <c r="G1136" s="587"/>
      <c r="H1136" s="587"/>
    </row>
    <row r="1138" spans="1:8" x14ac:dyDescent="0.3">
      <c r="A1138" s="346" t="s">
        <v>784</v>
      </c>
      <c r="B1138" s="33"/>
      <c r="C1138" s="33"/>
      <c r="D1138" s="33"/>
    </row>
    <row r="1140" spans="1:8" x14ac:dyDescent="0.3">
      <c r="A1140" s="337" t="s">
        <v>785</v>
      </c>
      <c r="B1140" s="337"/>
      <c r="C1140" s="337"/>
      <c r="D1140" s="34"/>
      <c r="E1140" s="34"/>
      <c r="F1140" s="34"/>
      <c r="G1140" s="34"/>
    </row>
    <row r="1141" spans="1:8" ht="24" x14ac:dyDescent="0.3">
      <c r="A1141" s="142" t="s">
        <v>0</v>
      </c>
      <c r="B1141" s="142" t="s">
        <v>20</v>
      </c>
      <c r="C1141" s="142" t="s">
        <v>21</v>
      </c>
      <c r="D1141" s="142" t="s">
        <v>214</v>
      </c>
      <c r="E1141" s="142" t="s">
        <v>53</v>
      </c>
      <c r="F1141" s="142" t="s">
        <v>22</v>
      </c>
      <c r="G1141" s="142" t="s">
        <v>1160</v>
      </c>
      <c r="H1141" s="142" t="s">
        <v>44</v>
      </c>
    </row>
    <row r="1142" spans="1:8" x14ac:dyDescent="0.3">
      <c r="A1142" s="31">
        <v>1</v>
      </c>
      <c r="B1142" s="121">
        <v>22020102</v>
      </c>
      <c r="C1142" s="122" t="s">
        <v>216</v>
      </c>
      <c r="D1142" s="123">
        <v>7000000</v>
      </c>
      <c r="E1142" s="32">
        <v>0</v>
      </c>
      <c r="F1142" s="32">
        <v>10000000</v>
      </c>
      <c r="G1142" s="32">
        <f t="shared" ref="G1142:G1163" si="58">D1142-E1142+F1142</f>
        <v>17000000</v>
      </c>
      <c r="H1142" s="338"/>
    </row>
    <row r="1143" spans="1:8" x14ac:dyDescent="0.3">
      <c r="A1143" s="31">
        <v>2</v>
      </c>
      <c r="B1143" s="121">
        <v>22020202</v>
      </c>
      <c r="C1143" s="122" t="s">
        <v>218</v>
      </c>
      <c r="D1143" s="123">
        <v>1500000</v>
      </c>
      <c r="E1143" s="32">
        <v>0</v>
      </c>
      <c r="F1143" s="32"/>
      <c r="G1143" s="32">
        <f t="shared" si="58"/>
        <v>1500000</v>
      </c>
      <c r="H1143" s="338"/>
    </row>
    <row r="1144" spans="1:8" x14ac:dyDescent="0.3">
      <c r="A1144" s="31">
        <v>3</v>
      </c>
      <c r="B1144" s="121">
        <v>22020301</v>
      </c>
      <c r="C1144" s="122" t="s">
        <v>220</v>
      </c>
      <c r="D1144" s="123">
        <v>1000000</v>
      </c>
      <c r="E1144" s="32">
        <v>0</v>
      </c>
      <c r="F1144" s="32">
        <v>0</v>
      </c>
      <c r="G1144" s="32">
        <f t="shared" si="58"/>
        <v>1000000</v>
      </c>
      <c r="H1144" s="338"/>
    </row>
    <row r="1145" spans="1:8" x14ac:dyDescent="0.3">
      <c r="A1145" s="31">
        <v>4</v>
      </c>
      <c r="B1145" s="121">
        <v>22020306</v>
      </c>
      <c r="C1145" s="122" t="s">
        <v>221</v>
      </c>
      <c r="D1145" s="123">
        <v>5500000</v>
      </c>
      <c r="E1145" s="32">
        <v>0</v>
      </c>
      <c r="F1145" s="32">
        <v>0</v>
      </c>
      <c r="G1145" s="32">
        <f t="shared" si="58"/>
        <v>5500000</v>
      </c>
      <c r="H1145" s="338"/>
    </row>
    <row r="1146" spans="1:8" ht="20.399999999999999" x14ac:dyDescent="0.3">
      <c r="A1146" s="31">
        <v>5</v>
      </c>
      <c r="B1146" s="121">
        <v>22020401</v>
      </c>
      <c r="C1146" s="122" t="s">
        <v>222</v>
      </c>
      <c r="D1146" s="123">
        <v>3500000</v>
      </c>
      <c r="E1146" s="32">
        <v>0</v>
      </c>
      <c r="F1146" s="32">
        <v>0</v>
      </c>
      <c r="G1146" s="32">
        <f t="shared" si="58"/>
        <v>3500000</v>
      </c>
      <c r="H1146" s="338"/>
    </row>
    <row r="1147" spans="1:8" x14ac:dyDescent="0.3">
      <c r="A1147" s="31">
        <v>6</v>
      </c>
      <c r="B1147" s="121">
        <v>22020402</v>
      </c>
      <c r="C1147" s="122" t="s">
        <v>223</v>
      </c>
      <c r="D1147" s="123">
        <v>4500000</v>
      </c>
      <c r="E1147" s="32">
        <v>0</v>
      </c>
      <c r="F1147" s="32">
        <v>0</v>
      </c>
      <c r="G1147" s="32">
        <f t="shared" si="58"/>
        <v>4500000</v>
      </c>
      <c r="H1147" s="338"/>
    </row>
    <row r="1148" spans="1:8" x14ac:dyDescent="0.3">
      <c r="A1148" s="31">
        <v>7</v>
      </c>
      <c r="B1148" s="121">
        <v>22020406</v>
      </c>
      <c r="C1148" s="122" t="s">
        <v>224</v>
      </c>
      <c r="D1148" s="123">
        <v>140000000</v>
      </c>
      <c r="E1148" s="32">
        <v>0</v>
      </c>
      <c r="F1148" s="32">
        <v>60000000</v>
      </c>
      <c r="G1148" s="32">
        <f t="shared" si="58"/>
        <v>200000000</v>
      </c>
      <c r="H1148" s="338"/>
    </row>
    <row r="1149" spans="1:8" x14ac:dyDescent="0.3">
      <c r="A1149" s="31">
        <v>8</v>
      </c>
      <c r="B1149" s="121">
        <v>22020501</v>
      </c>
      <c r="C1149" s="122" t="s">
        <v>225</v>
      </c>
      <c r="D1149" s="123">
        <v>7500000</v>
      </c>
      <c r="E1149" s="32">
        <v>0</v>
      </c>
      <c r="F1149" s="32">
        <v>0</v>
      </c>
      <c r="G1149" s="32">
        <f t="shared" si="58"/>
        <v>7500000</v>
      </c>
      <c r="H1149" s="338"/>
    </row>
    <row r="1150" spans="1:8" ht="18.75" customHeight="1" x14ac:dyDescent="0.3">
      <c r="A1150" s="31">
        <v>9</v>
      </c>
      <c r="B1150" s="121">
        <v>22020503</v>
      </c>
      <c r="C1150" s="122" t="s">
        <v>236</v>
      </c>
      <c r="D1150" s="123">
        <v>5000000</v>
      </c>
      <c r="E1150" s="32">
        <v>0</v>
      </c>
      <c r="F1150" s="32">
        <v>5000000</v>
      </c>
      <c r="G1150" s="32">
        <f t="shared" si="58"/>
        <v>10000000</v>
      </c>
      <c r="H1150" s="338"/>
    </row>
    <row r="1151" spans="1:8" x14ac:dyDescent="0.3">
      <c r="A1151" s="31">
        <v>10</v>
      </c>
      <c r="B1151" s="121">
        <v>22020706</v>
      </c>
      <c r="C1151" s="122" t="s">
        <v>696</v>
      </c>
      <c r="D1151" s="143">
        <v>0</v>
      </c>
      <c r="E1151" s="32">
        <v>0</v>
      </c>
      <c r="F1151" s="32">
        <v>0</v>
      </c>
      <c r="G1151" s="32">
        <f t="shared" si="58"/>
        <v>0</v>
      </c>
      <c r="H1151" s="338"/>
    </row>
    <row r="1152" spans="1:8" x14ac:dyDescent="0.3">
      <c r="A1152" s="31">
        <v>11</v>
      </c>
      <c r="B1152" s="121">
        <v>22020711</v>
      </c>
      <c r="C1152" s="122" t="s">
        <v>227</v>
      </c>
      <c r="D1152" s="123">
        <v>2000000</v>
      </c>
      <c r="E1152" s="32">
        <v>0</v>
      </c>
      <c r="F1152" s="32">
        <v>0</v>
      </c>
      <c r="G1152" s="32">
        <f t="shared" si="58"/>
        <v>2000000</v>
      </c>
      <c r="H1152" s="338"/>
    </row>
    <row r="1153" spans="1:8" x14ac:dyDescent="0.3">
      <c r="A1153" s="31">
        <v>12</v>
      </c>
      <c r="B1153" s="121">
        <v>22020712</v>
      </c>
      <c r="C1153" s="122" t="s">
        <v>242</v>
      </c>
      <c r="D1153" s="123">
        <v>16500000</v>
      </c>
      <c r="E1153" s="32">
        <v>0</v>
      </c>
      <c r="F1153" s="32">
        <v>0</v>
      </c>
      <c r="G1153" s="32">
        <f t="shared" si="58"/>
        <v>16500000</v>
      </c>
      <c r="H1153" s="338"/>
    </row>
    <row r="1154" spans="1:8" x14ac:dyDescent="0.3">
      <c r="A1154" s="31">
        <v>13</v>
      </c>
      <c r="B1154" s="121">
        <v>22020803</v>
      </c>
      <c r="C1154" s="122" t="s">
        <v>239</v>
      </c>
      <c r="D1154" s="123">
        <v>2000000</v>
      </c>
      <c r="E1154" s="32">
        <v>0</v>
      </c>
      <c r="F1154" s="32">
        <v>0</v>
      </c>
      <c r="G1154" s="32">
        <f t="shared" si="58"/>
        <v>2000000</v>
      </c>
      <c r="H1154" s="338"/>
    </row>
    <row r="1155" spans="1:8" x14ac:dyDescent="0.3">
      <c r="A1155" s="31">
        <v>14</v>
      </c>
      <c r="B1155" s="121">
        <v>22021001</v>
      </c>
      <c r="C1155" s="122" t="s">
        <v>229</v>
      </c>
      <c r="D1155" s="123">
        <v>1500000</v>
      </c>
      <c r="E1155" s="32">
        <v>0</v>
      </c>
      <c r="F1155" s="32">
        <v>0</v>
      </c>
      <c r="G1155" s="32">
        <f t="shared" si="58"/>
        <v>1500000</v>
      </c>
      <c r="H1155" s="338"/>
    </row>
    <row r="1156" spans="1:8" x14ac:dyDescent="0.3">
      <c r="A1156" s="31">
        <v>15</v>
      </c>
      <c r="B1156" s="121">
        <v>22021007</v>
      </c>
      <c r="C1156" s="122" t="s">
        <v>230</v>
      </c>
      <c r="D1156" s="123">
        <v>1000000</v>
      </c>
      <c r="E1156" s="32">
        <v>0</v>
      </c>
      <c r="F1156" s="32">
        <v>0</v>
      </c>
      <c r="G1156" s="32">
        <f t="shared" si="58"/>
        <v>1000000</v>
      </c>
      <c r="H1156" s="338"/>
    </row>
    <row r="1157" spans="1:8" x14ac:dyDescent="0.3">
      <c r="A1157" s="31">
        <v>16</v>
      </c>
      <c r="B1157" s="121">
        <v>22021009</v>
      </c>
      <c r="C1157" s="122" t="s">
        <v>268</v>
      </c>
      <c r="D1157" s="123">
        <v>2000000</v>
      </c>
      <c r="E1157" s="32">
        <v>0</v>
      </c>
      <c r="F1157" s="32">
        <v>0</v>
      </c>
      <c r="G1157" s="32">
        <f t="shared" si="58"/>
        <v>2000000</v>
      </c>
      <c r="H1157" s="338"/>
    </row>
    <row r="1158" spans="1:8" x14ac:dyDescent="0.3">
      <c r="A1158" s="31">
        <v>17</v>
      </c>
      <c r="B1158" s="121">
        <v>22021012</v>
      </c>
      <c r="C1158" s="122" t="s">
        <v>313</v>
      </c>
      <c r="D1158" s="123">
        <v>1000000</v>
      </c>
      <c r="E1158" s="32">
        <v>0</v>
      </c>
      <c r="F1158" s="32">
        <v>0</v>
      </c>
      <c r="G1158" s="32">
        <f t="shared" si="58"/>
        <v>1000000</v>
      </c>
      <c r="H1158" s="338"/>
    </row>
    <row r="1159" spans="1:8" x14ac:dyDescent="0.3">
      <c r="A1159" s="31">
        <v>18</v>
      </c>
      <c r="B1159" s="121">
        <v>22021014</v>
      </c>
      <c r="C1159" s="122" t="s">
        <v>526</v>
      </c>
      <c r="D1159" s="123">
        <v>500000</v>
      </c>
      <c r="E1159" s="32">
        <v>0</v>
      </c>
      <c r="F1159" s="32">
        <v>0</v>
      </c>
      <c r="G1159" s="32">
        <f t="shared" si="58"/>
        <v>500000</v>
      </c>
      <c r="H1159" s="338"/>
    </row>
    <row r="1160" spans="1:8" ht="14.1" customHeight="1" x14ac:dyDescent="0.3">
      <c r="A1160" s="31">
        <v>19</v>
      </c>
      <c r="B1160" s="121">
        <v>22021052</v>
      </c>
      <c r="C1160" s="122" t="s">
        <v>252</v>
      </c>
      <c r="D1160" s="123">
        <v>3000000</v>
      </c>
      <c r="E1160" s="32">
        <v>0</v>
      </c>
      <c r="F1160" s="32">
        <v>0</v>
      </c>
      <c r="G1160" s="32">
        <f t="shared" si="58"/>
        <v>3000000</v>
      </c>
      <c r="H1160" s="338"/>
    </row>
    <row r="1161" spans="1:8" ht="14.1" customHeight="1" x14ac:dyDescent="0.3">
      <c r="A1161" s="31">
        <v>20</v>
      </c>
      <c r="B1161" s="121">
        <v>22021055</v>
      </c>
      <c r="C1161" s="122" t="s">
        <v>786</v>
      </c>
      <c r="D1161" s="123">
        <v>9000000</v>
      </c>
      <c r="E1161" s="32">
        <v>0</v>
      </c>
      <c r="F1161" s="32">
        <v>0</v>
      </c>
      <c r="G1161" s="32">
        <f t="shared" si="58"/>
        <v>9000000</v>
      </c>
      <c r="H1161" s="338"/>
    </row>
    <row r="1162" spans="1:8" ht="14.1" customHeight="1" x14ac:dyDescent="0.3">
      <c r="A1162" s="31">
        <v>21</v>
      </c>
      <c r="B1162" s="121">
        <v>22021056</v>
      </c>
      <c r="C1162" s="122" t="s">
        <v>787</v>
      </c>
      <c r="D1162" s="123">
        <v>120000000</v>
      </c>
      <c r="E1162" s="32">
        <v>0</v>
      </c>
      <c r="F1162" s="32">
        <v>0</v>
      </c>
      <c r="G1162" s="32">
        <f t="shared" si="58"/>
        <v>120000000</v>
      </c>
      <c r="H1162" s="338"/>
    </row>
    <row r="1163" spans="1:8" ht="14.1" customHeight="1" x14ac:dyDescent="0.3">
      <c r="A1163" s="31">
        <v>22</v>
      </c>
      <c r="B1163" s="121">
        <v>22021060</v>
      </c>
      <c r="C1163" s="122" t="s">
        <v>231</v>
      </c>
      <c r="D1163" s="123">
        <v>40000000</v>
      </c>
      <c r="E1163" s="32">
        <v>0</v>
      </c>
      <c r="F1163" s="32">
        <v>0</v>
      </c>
      <c r="G1163" s="32">
        <f t="shared" si="58"/>
        <v>40000000</v>
      </c>
      <c r="H1163" s="338"/>
    </row>
    <row r="1164" spans="1:8" x14ac:dyDescent="0.3">
      <c r="A1164" s="589" t="s">
        <v>23</v>
      </c>
      <c r="B1164" s="589"/>
      <c r="C1164" s="589"/>
      <c r="D1164" s="119">
        <f>SUM(D1142:D1163)</f>
        <v>374000000</v>
      </c>
      <c r="E1164" s="119">
        <f t="shared" ref="E1164:G1164" si="59">SUM(E1142:E1163)</f>
        <v>0</v>
      </c>
      <c r="F1164" s="119">
        <f t="shared" si="59"/>
        <v>75000000</v>
      </c>
      <c r="G1164" s="119">
        <f t="shared" si="59"/>
        <v>449000000</v>
      </c>
      <c r="H1164" s="31"/>
    </row>
    <row r="1165" spans="1:8" x14ac:dyDescent="0.3">
      <c r="A1165" s="556"/>
      <c r="B1165" s="556"/>
      <c r="C1165" s="556"/>
      <c r="D1165" s="557"/>
      <c r="E1165" s="557"/>
      <c r="F1165" s="557"/>
      <c r="G1165" s="557"/>
      <c r="H1165" s="430"/>
    </row>
    <row r="1167" spans="1:8" x14ac:dyDescent="0.3">
      <c r="A1167" s="587" t="s">
        <v>213</v>
      </c>
      <c r="B1167" s="587"/>
      <c r="C1167" s="587"/>
      <c r="D1167" s="587"/>
      <c r="E1167" s="587"/>
      <c r="F1167" s="587"/>
      <c r="G1167" s="587"/>
      <c r="H1167" s="587"/>
    </row>
    <row r="1168" spans="1:8" x14ac:dyDescent="0.3">
      <c r="A1168" s="587" t="s">
        <v>1159</v>
      </c>
      <c r="B1168" s="587"/>
      <c r="C1168" s="587"/>
      <c r="D1168" s="587"/>
      <c r="E1168" s="587"/>
      <c r="F1168" s="587"/>
      <c r="G1168" s="587"/>
      <c r="H1168" s="587"/>
    </row>
    <row r="1169" spans="1:8" x14ac:dyDescent="0.3">
      <c r="A1169" s="587" t="s">
        <v>215</v>
      </c>
      <c r="B1169" s="587"/>
      <c r="C1169" s="587"/>
      <c r="D1169" s="587"/>
      <c r="E1169" s="587"/>
      <c r="F1169" s="587"/>
      <c r="G1169" s="587"/>
      <c r="H1169" s="587"/>
    </row>
    <row r="1171" spans="1:8" x14ac:dyDescent="0.3">
      <c r="A1171" s="346" t="s">
        <v>1141</v>
      </c>
      <c r="B1171" s="33"/>
      <c r="C1171" s="33"/>
      <c r="D1171" s="33"/>
    </row>
    <row r="1173" spans="1:8" x14ac:dyDescent="0.3">
      <c r="A1173" s="337" t="s">
        <v>698</v>
      </c>
      <c r="B1173" s="337"/>
      <c r="C1173" s="337"/>
      <c r="D1173" s="34"/>
      <c r="E1173" s="34"/>
      <c r="F1173" s="34"/>
      <c r="G1173" s="34"/>
    </row>
    <row r="1174" spans="1:8" ht="24" x14ac:dyDescent="0.3">
      <c r="A1174" s="142" t="s">
        <v>0</v>
      </c>
      <c r="B1174" s="142" t="s">
        <v>20</v>
      </c>
      <c r="C1174" s="142" t="s">
        <v>21</v>
      </c>
      <c r="D1174" s="142" t="s">
        <v>214</v>
      </c>
      <c r="E1174" s="142" t="s">
        <v>53</v>
      </c>
      <c r="F1174" s="142" t="s">
        <v>22</v>
      </c>
      <c r="G1174" s="142" t="s">
        <v>1160</v>
      </c>
      <c r="H1174" s="142" t="s">
        <v>44</v>
      </c>
    </row>
    <row r="1175" spans="1:8" x14ac:dyDescent="0.3">
      <c r="A1175" s="31">
        <v>1</v>
      </c>
      <c r="B1175" s="121">
        <v>22020102</v>
      </c>
      <c r="C1175" s="122" t="s">
        <v>216</v>
      </c>
      <c r="D1175" s="143">
        <v>0</v>
      </c>
      <c r="E1175" s="143">
        <v>0</v>
      </c>
      <c r="F1175" s="143">
        <v>2300000</v>
      </c>
      <c r="G1175" s="32">
        <f t="shared" ref="G1175:G1182" si="60">D1175-E1175+F1175</f>
        <v>2300000</v>
      </c>
      <c r="H1175" s="32" t="s">
        <v>240</v>
      </c>
    </row>
    <row r="1176" spans="1:8" x14ac:dyDescent="0.3">
      <c r="A1176" s="31">
        <v>2</v>
      </c>
      <c r="B1176" s="121">
        <v>22020202</v>
      </c>
      <c r="C1176" s="122" t="s">
        <v>218</v>
      </c>
      <c r="D1176" s="143">
        <v>0</v>
      </c>
      <c r="E1176" s="143">
        <v>0</v>
      </c>
      <c r="F1176" s="143">
        <v>400000</v>
      </c>
      <c r="G1176" s="32">
        <f t="shared" si="60"/>
        <v>400000</v>
      </c>
      <c r="H1176" s="32" t="s">
        <v>240</v>
      </c>
    </row>
    <row r="1177" spans="1:8" x14ac:dyDescent="0.3">
      <c r="A1177" s="31">
        <v>3</v>
      </c>
      <c r="B1177" s="121">
        <v>22020301</v>
      </c>
      <c r="C1177" s="122" t="s">
        <v>220</v>
      </c>
      <c r="D1177" s="143">
        <v>0</v>
      </c>
      <c r="E1177" s="143">
        <v>0</v>
      </c>
      <c r="F1177" s="143">
        <v>600000</v>
      </c>
      <c r="G1177" s="32">
        <f t="shared" si="60"/>
        <v>600000</v>
      </c>
      <c r="H1177" s="32" t="s">
        <v>240</v>
      </c>
    </row>
    <row r="1178" spans="1:8" x14ac:dyDescent="0.3">
      <c r="A1178" s="31">
        <v>4</v>
      </c>
      <c r="B1178" s="121">
        <v>22020305</v>
      </c>
      <c r="C1178" s="122" t="s">
        <v>233</v>
      </c>
      <c r="D1178" s="143">
        <v>0</v>
      </c>
      <c r="E1178" s="143">
        <v>0</v>
      </c>
      <c r="F1178" s="143">
        <v>600000</v>
      </c>
      <c r="G1178" s="32">
        <f t="shared" si="60"/>
        <v>600000</v>
      </c>
      <c r="H1178" s="32" t="s">
        <v>240</v>
      </c>
    </row>
    <row r="1179" spans="1:8" ht="20.399999999999999" x14ac:dyDescent="0.3">
      <c r="A1179" s="31">
        <v>5</v>
      </c>
      <c r="B1179" s="121">
        <v>22020401</v>
      </c>
      <c r="C1179" s="122" t="s">
        <v>222</v>
      </c>
      <c r="D1179" s="143">
        <v>0</v>
      </c>
      <c r="E1179" s="143">
        <v>0</v>
      </c>
      <c r="F1179" s="143">
        <v>600000</v>
      </c>
      <c r="G1179" s="32">
        <f t="shared" si="60"/>
        <v>600000</v>
      </c>
      <c r="H1179" s="32" t="s">
        <v>240</v>
      </c>
    </row>
    <row r="1180" spans="1:8" x14ac:dyDescent="0.3">
      <c r="A1180" s="31">
        <v>6</v>
      </c>
      <c r="B1180" s="121">
        <v>22020402</v>
      </c>
      <c r="C1180" s="122" t="s">
        <v>223</v>
      </c>
      <c r="D1180" s="143">
        <v>0</v>
      </c>
      <c r="E1180" s="143">
        <v>0</v>
      </c>
      <c r="F1180" s="143">
        <v>400000</v>
      </c>
      <c r="G1180" s="32">
        <f t="shared" si="60"/>
        <v>400000</v>
      </c>
      <c r="H1180" s="32" t="s">
        <v>240</v>
      </c>
    </row>
    <row r="1181" spans="1:8" x14ac:dyDescent="0.3">
      <c r="A1181" s="31">
        <v>7</v>
      </c>
      <c r="B1181" s="121">
        <v>22020501</v>
      </c>
      <c r="C1181" s="122" t="s">
        <v>225</v>
      </c>
      <c r="D1181" s="143">
        <v>0</v>
      </c>
      <c r="E1181" s="143">
        <v>0</v>
      </c>
      <c r="F1181" s="143">
        <v>1000000</v>
      </c>
      <c r="G1181" s="32">
        <f t="shared" si="60"/>
        <v>1000000</v>
      </c>
      <c r="H1181" s="32" t="s">
        <v>240</v>
      </c>
    </row>
    <row r="1182" spans="1:8" x14ac:dyDescent="0.3">
      <c r="A1182" s="31">
        <v>9</v>
      </c>
      <c r="B1182" s="121">
        <v>22021007</v>
      </c>
      <c r="C1182" s="122" t="s">
        <v>230</v>
      </c>
      <c r="D1182" s="143">
        <v>0</v>
      </c>
      <c r="E1182" s="143">
        <v>0</v>
      </c>
      <c r="F1182" s="143">
        <v>1600000</v>
      </c>
      <c r="G1182" s="32">
        <f t="shared" si="60"/>
        <v>1600000</v>
      </c>
      <c r="H1182" s="32" t="s">
        <v>240</v>
      </c>
    </row>
    <row r="1183" spans="1:8" x14ac:dyDescent="0.3">
      <c r="A1183" s="588" t="s">
        <v>23</v>
      </c>
      <c r="B1183" s="588"/>
      <c r="C1183" s="588"/>
      <c r="D1183" s="117">
        <f>SUM(D1175:D1182)</f>
        <v>0</v>
      </c>
      <c r="E1183" s="117">
        <f>SUM(E1175:E1182)</f>
        <v>0</v>
      </c>
      <c r="F1183" s="119">
        <f>SUM(F1175:F1182)</f>
        <v>7500000</v>
      </c>
      <c r="G1183" s="119">
        <f>SUM(G1175:G1182)</f>
        <v>7500000</v>
      </c>
      <c r="H1183" s="338"/>
    </row>
    <row r="1200" spans="1:8" x14ac:dyDescent="0.3">
      <c r="A1200" s="587" t="s">
        <v>213</v>
      </c>
      <c r="B1200" s="587"/>
      <c r="C1200" s="587"/>
      <c r="D1200" s="587"/>
      <c r="E1200" s="587"/>
      <c r="F1200" s="587"/>
      <c r="G1200" s="587"/>
      <c r="H1200" s="587"/>
    </row>
    <row r="1201" spans="1:8" x14ac:dyDescent="0.3">
      <c r="A1201" s="587" t="s">
        <v>1159</v>
      </c>
      <c r="B1201" s="587"/>
      <c r="C1201" s="587"/>
      <c r="D1201" s="587"/>
      <c r="E1201" s="587"/>
      <c r="F1201" s="587"/>
      <c r="G1201" s="587"/>
      <c r="H1201" s="587"/>
    </row>
    <row r="1202" spans="1:8" x14ac:dyDescent="0.3">
      <c r="A1202" s="587" t="s">
        <v>215</v>
      </c>
      <c r="B1202" s="587"/>
      <c r="C1202" s="587"/>
      <c r="D1202" s="587"/>
      <c r="E1202" s="587"/>
      <c r="F1202" s="587"/>
      <c r="G1202" s="587"/>
      <c r="H1202" s="587"/>
    </row>
    <row r="1204" spans="1:8" x14ac:dyDescent="0.3">
      <c r="A1204" s="346" t="s">
        <v>1090</v>
      </c>
      <c r="B1204" s="33"/>
      <c r="C1204" s="33"/>
      <c r="D1204" s="33"/>
    </row>
    <row r="1206" spans="1:8" x14ac:dyDescent="0.3">
      <c r="A1206" s="337" t="s">
        <v>1091</v>
      </c>
      <c r="B1206" s="337"/>
      <c r="C1206" s="337"/>
      <c r="D1206" s="34"/>
      <c r="E1206" s="34"/>
      <c r="F1206" s="34"/>
      <c r="G1206" s="34"/>
    </row>
    <row r="1207" spans="1:8" ht="24" x14ac:dyDescent="0.3">
      <c r="A1207" s="142" t="s">
        <v>0</v>
      </c>
      <c r="B1207" s="142" t="s">
        <v>20</v>
      </c>
      <c r="C1207" s="142" t="s">
        <v>21</v>
      </c>
      <c r="D1207" s="142" t="s">
        <v>214</v>
      </c>
      <c r="E1207" s="142" t="s">
        <v>53</v>
      </c>
      <c r="F1207" s="142" t="s">
        <v>22</v>
      </c>
      <c r="G1207" s="142" t="s">
        <v>1160</v>
      </c>
      <c r="H1207" s="142" t="s">
        <v>44</v>
      </c>
    </row>
    <row r="1208" spans="1:8" x14ac:dyDescent="0.3">
      <c r="A1208" s="31">
        <v>1</v>
      </c>
      <c r="B1208" s="121">
        <v>22020102</v>
      </c>
      <c r="C1208" s="122" t="s">
        <v>216</v>
      </c>
      <c r="D1208" s="123">
        <v>4000000</v>
      </c>
      <c r="E1208" s="32">
        <v>0</v>
      </c>
      <c r="F1208" s="32">
        <v>10000000</v>
      </c>
      <c r="G1208" s="32">
        <f t="shared" ref="G1208:G1221" si="61">D1208-E1208+F1208</f>
        <v>14000000</v>
      </c>
      <c r="H1208" s="31" t="s">
        <v>240</v>
      </c>
    </row>
    <row r="1209" spans="1:8" x14ac:dyDescent="0.3">
      <c r="A1209" s="31">
        <v>2</v>
      </c>
      <c r="B1209" s="121">
        <v>22020201</v>
      </c>
      <c r="C1209" s="122" t="s">
        <v>217</v>
      </c>
      <c r="D1209" s="123">
        <v>400000</v>
      </c>
      <c r="E1209" s="32">
        <v>0</v>
      </c>
      <c r="F1209" s="32">
        <v>0</v>
      </c>
      <c r="G1209" s="32">
        <f t="shared" si="61"/>
        <v>400000</v>
      </c>
      <c r="H1209" s="31"/>
    </row>
    <row r="1210" spans="1:8" x14ac:dyDescent="0.3">
      <c r="A1210" s="31">
        <v>3</v>
      </c>
      <c r="B1210" s="121">
        <v>22020202</v>
      </c>
      <c r="C1210" s="122" t="s">
        <v>218</v>
      </c>
      <c r="D1210" s="123">
        <v>0</v>
      </c>
      <c r="E1210" s="32">
        <v>0</v>
      </c>
      <c r="F1210" s="32">
        <v>0</v>
      </c>
      <c r="G1210" s="32">
        <f t="shared" si="61"/>
        <v>0</v>
      </c>
      <c r="H1210" s="31"/>
    </row>
    <row r="1211" spans="1:8" x14ac:dyDescent="0.3">
      <c r="A1211" s="31">
        <v>4</v>
      </c>
      <c r="B1211" s="121">
        <v>22020301</v>
      </c>
      <c r="C1211" s="122" t="s">
        <v>220</v>
      </c>
      <c r="D1211" s="123">
        <v>200000</v>
      </c>
      <c r="E1211" s="32">
        <v>0</v>
      </c>
      <c r="F1211" s="32">
        <v>0</v>
      </c>
      <c r="G1211" s="32">
        <f t="shared" si="61"/>
        <v>200000</v>
      </c>
      <c r="H1211" s="31"/>
    </row>
    <row r="1212" spans="1:8" x14ac:dyDescent="0.3">
      <c r="A1212" s="31">
        <v>5</v>
      </c>
      <c r="B1212" s="121">
        <v>22020303</v>
      </c>
      <c r="C1212" s="122" t="s">
        <v>276</v>
      </c>
      <c r="D1212" s="123">
        <v>100000</v>
      </c>
      <c r="E1212" s="32">
        <v>0</v>
      </c>
      <c r="F1212" s="32">
        <v>0</v>
      </c>
      <c r="G1212" s="32">
        <f t="shared" si="61"/>
        <v>100000</v>
      </c>
      <c r="H1212" s="31"/>
    </row>
    <row r="1213" spans="1:8" x14ac:dyDescent="0.3">
      <c r="A1213" s="31">
        <v>6</v>
      </c>
      <c r="B1213" s="121">
        <v>22020305</v>
      </c>
      <c r="C1213" s="122" t="s">
        <v>233</v>
      </c>
      <c r="D1213" s="123">
        <v>100000</v>
      </c>
      <c r="E1213" s="32">
        <v>0</v>
      </c>
      <c r="F1213" s="32">
        <v>0</v>
      </c>
      <c r="G1213" s="32">
        <f t="shared" si="61"/>
        <v>100000</v>
      </c>
      <c r="H1213" s="31"/>
    </row>
    <row r="1214" spans="1:8" ht="20.399999999999999" x14ac:dyDescent="0.3">
      <c r="A1214" s="31">
        <v>7</v>
      </c>
      <c r="B1214" s="121">
        <v>22020401</v>
      </c>
      <c r="C1214" s="122" t="s">
        <v>222</v>
      </c>
      <c r="D1214" s="123">
        <v>1000000</v>
      </c>
      <c r="E1214" s="32">
        <v>0</v>
      </c>
      <c r="F1214" s="32">
        <v>0</v>
      </c>
      <c r="G1214" s="32">
        <f t="shared" si="61"/>
        <v>1000000</v>
      </c>
      <c r="H1214" s="31"/>
    </row>
    <row r="1215" spans="1:8" x14ac:dyDescent="0.3">
      <c r="A1215" s="31">
        <v>8</v>
      </c>
      <c r="B1215" s="121">
        <v>22020402</v>
      </c>
      <c r="C1215" s="122" t="s">
        <v>223</v>
      </c>
      <c r="D1215" s="123">
        <v>500000</v>
      </c>
      <c r="E1215" s="32">
        <v>0</v>
      </c>
      <c r="F1215" s="32">
        <v>0</v>
      </c>
      <c r="G1215" s="32">
        <f t="shared" si="61"/>
        <v>500000</v>
      </c>
      <c r="H1215" s="31"/>
    </row>
    <row r="1216" spans="1:8" x14ac:dyDescent="0.3">
      <c r="A1216" s="31">
        <v>9</v>
      </c>
      <c r="B1216" s="121">
        <v>22020501</v>
      </c>
      <c r="C1216" s="122" t="s">
        <v>225</v>
      </c>
      <c r="D1216" s="123">
        <v>3000000</v>
      </c>
      <c r="E1216" s="32">
        <v>0</v>
      </c>
      <c r="F1216" s="32">
        <v>0</v>
      </c>
      <c r="G1216" s="32">
        <f t="shared" si="61"/>
        <v>3000000</v>
      </c>
      <c r="H1216" s="31"/>
    </row>
    <row r="1217" spans="1:8" x14ac:dyDescent="0.3">
      <c r="A1217" s="31">
        <v>10</v>
      </c>
      <c r="B1217" s="121">
        <v>22020503</v>
      </c>
      <c r="C1217" s="122" t="s">
        <v>236</v>
      </c>
      <c r="D1217" s="123">
        <v>0</v>
      </c>
      <c r="E1217" s="32">
        <v>0</v>
      </c>
      <c r="F1217" s="32">
        <v>0</v>
      </c>
      <c r="G1217" s="32">
        <f t="shared" si="61"/>
        <v>0</v>
      </c>
      <c r="H1217" s="31"/>
    </row>
    <row r="1218" spans="1:8" x14ac:dyDescent="0.3">
      <c r="A1218" s="31">
        <v>11</v>
      </c>
      <c r="B1218" s="121">
        <v>22021001</v>
      </c>
      <c r="C1218" s="122" t="s">
        <v>229</v>
      </c>
      <c r="D1218" s="123">
        <v>936750</v>
      </c>
      <c r="E1218" s="32">
        <v>0</v>
      </c>
      <c r="F1218" s="32">
        <v>0</v>
      </c>
      <c r="G1218" s="32">
        <f t="shared" si="61"/>
        <v>936750</v>
      </c>
      <c r="H1218" s="31"/>
    </row>
    <row r="1219" spans="1:8" x14ac:dyDescent="0.3">
      <c r="A1219" s="31">
        <v>12</v>
      </c>
      <c r="B1219" s="121">
        <v>22021003</v>
      </c>
      <c r="C1219" s="122" t="s">
        <v>259</v>
      </c>
      <c r="D1219" s="123">
        <v>0</v>
      </c>
      <c r="E1219" s="32">
        <v>0</v>
      </c>
      <c r="F1219" s="32">
        <v>0</v>
      </c>
      <c r="G1219" s="32">
        <f t="shared" si="61"/>
        <v>0</v>
      </c>
      <c r="H1219" s="31"/>
    </row>
    <row r="1220" spans="1:8" x14ac:dyDescent="0.3">
      <c r="A1220" s="31">
        <v>13</v>
      </c>
      <c r="B1220" s="121">
        <v>22021007</v>
      </c>
      <c r="C1220" s="122" t="s">
        <v>230</v>
      </c>
      <c r="D1220" s="123">
        <v>0</v>
      </c>
      <c r="E1220" s="32">
        <v>0</v>
      </c>
      <c r="F1220" s="32">
        <v>0</v>
      </c>
      <c r="G1220" s="32">
        <f t="shared" si="61"/>
        <v>0</v>
      </c>
      <c r="H1220" s="31"/>
    </row>
    <row r="1221" spans="1:8" x14ac:dyDescent="0.3">
      <c r="A1221" s="31">
        <v>14</v>
      </c>
      <c r="B1221" s="121">
        <v>22021057</v>
      </c>
      <c r="C1221" s="122" t="s">
        <v>1089</v>
      </c>
      <c r="D1221" s="123">
        <v>200000000</v>
      </c>
      <c r="E1221" s="32">
        <v>0</v>
      </c>
      <c r="F1221" s="32">
        <v>0</v>
      </c>
      <c r="G1221" s="32">
        <f t="shared" si="61"/>
        <v>200000000</v>
      </c>
      <c r="H1221" s="31"/>
    </row>
    <row r="1222" spans="1:8" x14ac:dyDescent="0.3">
      <c r="A1222" s="589" t="s">
        <v>23</v>
      </c>
      <c r="B1222" s="589"/>
      <c r="C1222" s="589"/>
      <c r="D1222" s="117">
        <f>SUM(D1208:D1221)</f>
        <v>210236750</v>
      </c>
      <c r="E1222" s="117">
        <f t="shared" ref="E1222:G1222" si="62">SUM(E1208:E1221)</f>
        <v>0</v>
      </c>
      <c r="F1222" s="117">
        <f t="shared" si="62"/>
        <v>10000000</v>
      </c>
      <c r="G1222" s="117">
        <f t="shared" si="62"/>
        <v>220236750</v>
      </c>
      <c r="H1222" s="117"/>
    </row>
    <row r="1232" spans="1:8" x14ac:dyDescent="0.3">
      <c r="A1232" s="587" t="s">
        <v>213</v>
      </c>
      <c r="B1232" s="587"/>
      <c r="C1232" s="587"/>
      <c r="D1232" s="587"/>
      <c r="E1232" s="587"/>
      <c r="F1232" s="587"/>
      <c r="G1232" s="587"/>
      <c r="H1232" s="587"/>
    </row>
    <row r="1233" spans="1:8" x14ac:dyDescent="0.3">
      <c r="A1233" s="587" t="s">
        <v>1159</v>
      </c>
      <c r="B1233" s="587"/>
      <c r="C1233" s="587"/>
      <c r="D1233" s="587"/>
      <c r="E1233" s="587"/>
      <c r="F1233" s="587"/>
      <c r="G1233" s="587"/>
      <c r="H1233" s="587"/>
    </row>
    <row r="1234" spans="1:8" x14ac:dyDescent="0.3">
      <c r="A1234" s="587" t="s">
        <v>215</v>
      </c>
      <c r="B1234" s="587"/>
      <c r="C1234" s="587"/>
      <c r="D1234" s="587"/>
      <c r="E1234" s="587"/>
      <c r="F1234" s="587"/>
      <c r="G1234" s="587"/>
      <c r="H1234" s="587"/>
    </row>
    <row r="1235" spans="1:8" x14ac:dyDescent="0.3">
      <c r="A1235" s="336"/>
      <c r="B1235" s="336"/>
      <c r="C1235" s="336"/>
      <c r="D1235" s="336"/>
      <c r="E1235" s="336"/>
      <c r="F1235" s="336"/>
      <c r="G1235" s="336"/>
    </row>
    <row r="1236" spans="1:8" x14ac:dyDescent="0.3">
      <c r="A1236" s="33" t="s">
        <v>668</v>
      </c>
      <c r="B1236" s="33"/>
      <c r="C1236" s="33"/>
      <c r="D1236" s="33"/>
      <c r="E1236" s="33"/>
      <c r="F1236" s="33"/>
      <c r="G1236" s="34"/>
    </row>
    <row r="1237" spans="1:8" x14ac:dyDescent="0.3">
      <c r="A1237" s="34"/>
      <c r="B1237" s="336"/>
      <c r="C1237" s="34"/>
      <c r="D1237" s="34"/>
      <c r="E1237" s="34"/>
      <c r="F1237" s="34"/>
      <c r="G1237" s="34"/>
    </row>
    <row r="1238" spans="1:8" x14ac:dyDescent="0.3">
      <c r="A1238" s="337" t="s">
        <v>669</v>
      </c>
      <c r="B1238" s="337"/>
      <c r="C1238" s="337"/>
      <c r="D1238" s="34"/>
      <c r="E1238" s="34"/>
      <c r="F1238" s="34"/>
      <c r="G1238" s="34"/>
    </row>
    <row r="1239" spans="1:8" ht="24" x14ac:dyDescent="0.3">
      <c r="A1239" s="142" t="s">
        <v>0</v>
      </c>
      <c r="B1239" s="142" t="s">
        <v>20</v>
      </c>
      <c r="C1239" s="142" t="s">
        <v>21</v>
      </c>
      <c r="D1239" s="142" t="s">
        <v>214</v>
      </c>
      <c r="E1239" s="142" t="s">
        <v>53</v>
      </c>
      <c r="F1239" s="142" t="s">
        <v>22</v>
      </c>
      <c r="G1239" s="142" t="s">
        <v>1160</v>
      </c>
      <c r="H1239" s="142" t="s">
        <v>44</v>
      </c>
    </row>
    <row r="1240" spans="1:8" x14ac:dyDescent="0.3">
      <c r="A1240" s="31">
        <v>1</v>
      </c>
      <c r="B1240" s="121">
        <v>22020102</v>
      </c>
      <c r="C1240" s="122" t="s">
        <v>216</v>
      </c>
      <c r="D1240" s="123">
        <v>3275000</v>
      </c>
      <c r="E1240" s="143">
        <v>0</v>
      </c>
      <c r="F1240" s="143">
        <v>0</v>
      </c>
      <c r="G1240" s="32">
        <f t="shared" ref="G1240:G1254" si="63">D1240-E1240+F1240</f>
        <v>3275000</v>
      </c>
      <c r="H1240" s="31"/>
    </row>
    <row r="1241" spans="1:8" x14ac:dyDescent="0.3">
      <c r="A1241" s="31">
        <v>2</v>
      </c>
      <c r="B1241" s="121">
        <v>22020201</v>
      </c>
      <c r="C1241" s="122" t="s">
        <v>217</v>
      </c>
      <c r="D1241" s="123">
        <v>400000</v>
      </c>
      <c r="E1241" s="143">
        <v>0</v>
      </c>
      <c r="F1241" s="143">
        <v>0</v>
      </c>
      <c r="G1241" s="32">
        <f t="shared" si="63"/>
        <v>400000</v>
      </c>
      <c r="H1241" s="31"/>
    </row>
    <row r="1242" spans="1:8" x14ac:dyDescent="0.3">
      <c r="A1242" s="31">
        <v>3</v>
      </c>
      <c r="B1242" s="121">
        <v>22020202</v>
      </c>
      <c r="C1242" s="122" t="s">
        <v>218</v>
      </c>
      <c r="D1242" s="123">
        <v>460000</v>
      </c>
      <c r="E1242" s="143">
        <v>0</v>
      </c>
      <c r="F1242" s="143">
        <v>0</v>
      </c>
      <c r="G1242" s="32">
        <f t="shared" si="63"/>
        <v>460000</v>
      </c>
      <c r="H1242" s="31"/>
    </row>
    <row r="1243" spans="1:8" x14ac:dyDescent="0.3">
      <c r="A1243" s="31">
        <v>4</v>
      </c>
      <c r="B1243" s="121">
        <v>22020301</v>
      </c>
      <c r="C1243" s="122" t="s">
        <v>220</v>
      </c>
      <c r="D1243" s="123">
        <v>300000</v>
      </c>
      <c r="E1243" s="143">
        <v>0</v>
      </c>
      <c r="F1243" s="143">
        <v>0</v>
      </c>
      <c r="G1243" s="32">
        <f t="shared" si="63"/>
        <v>300000</v>
      </c>
      <c r="H1243" s="31"/>
    </row>
    <row r="1244" spans="1:8" x14ac:dyDescent="0.3">
      <c r="A1244" s="31">
        <v>5</v>
      </c>
      <c r="B1244" s="121">
        <v>22020305</v>
      </c>
      <c r="C1244" s="122" t="s">
        <v>233</v>
      </c>
      <c r="D1244" s="123">
        <v>500000</v>
      </c>
      <c r="E1244" s="143">
        <v>0</v>
      </c>
      <c r="F1244" s="143">
        <v>0</v>
      </c>
      <c r="G1244" s="32">
        <f t="shared" si="63"/>
        <v>500000</v>
      </c>
      <c r="H1244" s="31"/>
    </row>
    <row r="1245" spans="1:8" ht="21.75" customHeight="1" x14ac:dyDescent="0.3">
      <c r="A1245" s="31">
        <v>6</v>
      </c>
      <c r="B1245" s="121">
        <v>22020401</v>
      </c>
      <c r="C1245" s="122" t="s">
        <v>222</v>
      </c>
      <c r="D1245" s="123">
        <v>300000</v>
      </c>
      <c r="E1245" s="143">
        <v>0</v>
      </c>
      <c r="F1245" s="143">
        <v>0</v>
      </c>
      <c r="G1245" s="32">
        <f t="shared" si="63"/>
        <v>300000</v>
      </c>
      <c r="H1245" s="32"/>
    </row>
    <row r="1246" spans="1:8" x14ac:dyDescent="0.3">
      <c r="A1246" s="31">
        <v>7</v>
      </c>
      <c r="B1246" s="121">
        <v>22020402</v>
      </c>
      <c r="C1246" s="122" t="s">
        <v>223</v>
      </c>
      <c r="D1246" s="123">
        <v>240000</v>
      </c>
      <c r="E1246" s="143">
        <v>0</v>
      </c>
      <c r="F1246" s="143">
        <v>0</v>
      </c>
      <c r="G1246" s="32">
        <f t="shared" si="63"/>
        <v>240000</v>
      </c>
      <c r="H1246" s="31"/>
    </row>
    <row r="1247" spans="1:8" x14ac:dyDescent="0.3">
      <c r="A1247" s="31">
        <v>8</v>
      </c>
      <c r="B1247" s="121">
        <v>22020406</v>
      </c>
      <c r="C1247" s="122" t="s">
        <v>224</v>
      </c>
      <c r="D1247" s="123">
        <v>44500000</v>
      </c>
      <c r="E1247" s="143">
        <v>0</v>
      </c>
      <c r="F1247" s="32">
        <v>0</v>
      </c>
      <c r="G1247" s="32">
        <f t="shared" si="63"/>
        <v>44500000</v>
      </c>
      <c r="H1247" s="31"/>
    </row>
    <row r="1248" spans="1:8" ht="21.6" x14ac:dyDescent="0.3">
      <c r="A1248" s="31">
        <v>9</v>
      </c>
      <c r="B1248" s="121">
        <v>22020803</v>
      </c>
      <c r="C1248" s="122" t="s">
        <v>250</v>
      </c>
      <c r="D1248" s="143">
        <v>0</v>
      </c>
      <c r="E1248" s="143">
        <v>0</v>
      </c>
      <c r="F1248" s="32">
        <v>40000000</v>
      </c>
      <c r="G1248" s="32">
        <f t="shared" si="63"/>
        <v>40000000</v>
      </c>
      <c r="H1248" s="38" t="s">
        <v>464</v>
      </c>
    </row>
    <row r="1249" spans="1:8" x14ac:dyDescent="0.3">
      <c r="A1249" s="31">
        <v>10</v>
      </c>
      <c r="B1249" s="121">
        <v>22020501</v>
      </c>
      <c r="C1249" s="122" t="s">
        <v>225</v>
      </c>
      <c r="D1249" s="123">
        <v>10800000</v>
      </c>
      <c r="E1249" s="143">
        <v>0</v>
      </c>
      <c r="F1249" s="143">
        <v>0</v>
      </c>
      <c r="G1249" s="32">
        <f t="shared" si="63"/>
        <v>10800000</v>
      </c>
      <c r="H1249" s="31"/>
    </row>
    <row r="1250" spans="1:8" x14ac:dyDescent="0.3">
      <c r="A1250" s="31">
        <v>11</v>
      </c>
      <c r="B1250" s="121">
        <v>22020901</v>
      </c>
      <c r="C1250" s="122" t="s">
        <v>267</v>
      </c>
      <c r="D1250" s="123">
        <v>5000</v>
      </c>
      <c r="E1250" s="143">
        <v>0</v>
      </c>
      <c r="F1250" s="143">
        <v>0</v>
      </c>
      <c r="G1250" s="32">
        <f t="shared" si="63"/>
        <v>5000</v>
      </c>
      <c r="H1250" s="31"/>
    </row>
    <row r="1251" spans="1:8" x14ac:dyDescent="0.3">
      <c r="A1251" s="31">
        <v>12</v>
      </c>
      <c r="B1251" s="121">
        <v>22021001</v>
      </c>
      <c r="C1251" s="122" t="s">
        <v>229</v>
      </c>
      <c r="D1251" s="123">
        <v>200000</v>
      </c>
      <c r="E1251" s="143">
        <v>0</v>
      </c>
      <c r="F1251" s="143">
        <v>0</v>
      </c>
      <c r="G1251" s="32">
        <f t="shared" si="63"/>
        <v>200000</v>
      </c>
      <c r="H1251" s="31"/>
    </row>
    <row r="1252" spans="1:8" x14ac:dyDescent="0.3">
      <c r="A1252" s="31">
        <v>13</v>
      </c>
      <c r="B1252" s="121">
        <v>22021003</v>
      </c>
      <c r="C1252" s="122" t="s">
        <v>259</v>
      </c>
      <c r="D1252" s="123">
        <v>1000000</v>
      </c>
      <c r="E1252" s="143">
        <v>0</v>
      </c>
      <c r="F1252" s="143">
        <v>0</v>
      </c>
      <c r="G1252" s="32">
        <f t="shared" si="63"/>
        <v>1000000</v>
      </c>
      <c r="H1252" s="31"/>
    </row>
    <row r="1253" spans="1:8" x14ac:dyDescent="0.3">
      <c r="A1253" s="31">
        <v>14</v>
      </c>
      <c r="B1253" s="121">
        <v>22021007</v>
      </c>
      <c r="C1253" s="122" t="s">
        <v>230</v>
      </c>
      <c r="D1253" s="123">
        <v>600000</v>
      </c>
      <c r="E1253" s="143">
        <v>0</v>
      </c>
      <c r="F1253" s="143">
        <v>0</v>
      </c>
      <c r="G1253" s="32">
        <f t="shared" si="63"/>
        <v>600000</v>
      </c>
      <c r="H1253" s="31"/>
    </row>
    <row r="1254" spans="1:8" x14ac:dyDescent="0.3">
      <c r="A1254" s="31">
        <v>15</v>
      </c>
      <c r="B1254" s="121">
        <v>22021060</v>
      </c>
      <c r="C1254" s="122" t="s">
        <v>231</v>
      </c>
      <c r="D1254" s="123">
        <v>5000000</v>
      </c>
      <c r="E1254" s="143">
        <v>0</v>
      </c>
      <c r="F1254" s="143">
        <v>0</v>
      </c>
      <c r="G1254" s="32">
        <f t="shared" si="63"/>
        <v>5000000</v>
      </c>
      <c r="H1254" s="31"/>
    </row>
    <row r="1255" spans="1:8" x14ac:dyDescent="0.3">
      <c r="A1255" s="589" t="s">
        <v>23</v>
      </c>
      <c r="B1255" s="589"/>
      <c r="C1255" s="589"/>
      <c r="D1255" s="119">
        <f>SUM(D1240:D1254)</f>
        <v>67580000</v>
      </c>
      <c r="E1255" s="117">
        <f t="shared" ref="E1255:F1255" si="64">SUM(E1240:E1254)</f>
        <v>0</v>
      </c>
      <c r="F1255" s="119">
        <f t="shared" si="64"/>
        <v>40000000</v>
      </c>
      <c r="G1255" s="119">
        <f>SUM(G1240:G1254)</f>
        <v>107580000</v>
      </c>
      <c r="H1255" s="119"/>
    </row>
    <row r="1264" spans="1:8" x14ac:dyDescent="0.3">
      <c r="A1264" s="587" t="s">
        <v>213</v>
      </c>
      <c r="B1264" s="587"/>
      <c r="C1264" s="587"/>
      <c r="D1264" s="587"/>
      <c r="E1264" s="587"/>
      <c r="F1264" s="587"/>
      <c r="G1264" s="587"/>
      <c r="H1264" s="587"/>
    </row>
    <row r="1265" spans="1:8" x14ac:dyDescent="0.3">
      <c r="A1265" s="587" t="s">
        <v>1159</v>
      </c>
      <c r="B1265" s="587"/>
      <c r="C1265" s="587"/>
      <c r="D1265" s="587"/>
      <c r="E1265" s="587"/>
      <c r="F1265" s="587"/>
      <c r="G1265" s="587"/>
      <c r="H1265" s="587"/>
    </row>
    <row r="1266" spans="1:8" x14ac:dyDescent="0.3">
      <c r="A1266" s="587" t="s">
        <v>215</v>
      </c>
      <c r="B1266" s="587"/>
      <c r="C1266" s="587"/>
      <c r="D1266" s="587"/>
      <c r="E1266" s="587"/>
      <c r="F1266" s="587"/>
      <c r="G1266" s="587"/>
      <c r="H1266" s="587"/>
    </row>
    <row r="1267" spans="1:8" x14ac:dyDescent="0.3">
      <c r="A1267" s="336"/>
      <c r="B1267" s="336"/>
      <c r="C1267" s="336"/>
      <c r="D1267" s="336"/>
      <c r="E1267" s="336"/>
      <c r="F1267" s="336"/>
      <c r="G1267" s="336"/>
    </row>
    <row r="1268" spans="1:8" x14ac:dyDescent="0.3">
      <c r="A1268" s="33" t="s">
        <v>670</v>
      </c>
      <c r="B1268" s="33"/>
      <c r="C1268" s="33"/>
      <c r="D1268" s="33"/>
      <c r="E1268" s="33"/>
      <c r="F1268" s="33"/>
      <c r="G1268" s="34"/>
    </row>
    <row r="1269" spans="1:8" x14ac:dyDescent="0.3">
      <c r="A1269" s="34"/>
      <c r="B1269" s="336"/>
      <c r="C1269" s="34"/>
      <c r="D1269" s="34"/>
      <c r="E1269" s="34"/>
      <c r="F1269" s="34"/>
      <c r="G1269" s="34"/>
    </row>
    <row r="1270" spans="1:8" x14ac:dyDescent="0.3">
      <c r="A1270" s="337" t="s">
        <v>671</v>
      </c>
      <c r="B1270" s="337"/>
      <c r="C1270" s="337"/>
      <c r="D1270" s="34"/>
      <c r="E1270" s="34"/>
      <c r="F1270" s="34"/>
      <c r="G1270" s="34"/>
    </row>
    <row r="1271" spans="1:8" ht="24" x14ac:dyDescent="0.3">
      <c r="A1271" s="142" t="s">
        <v>0</v>
      </c>
      <c r="B1271" s="142" t="s">
        <v>20</v>
      </c>
      <c r="C1271" s="142" t="s">
        <v>21</v>
      </c>
      <c r="D1271" s="142" t="s">
        <v>214</v>
      </c>
      <c r="E1271" s="142" t="s">
        <v>53</v>
      </c>
      <c r="F1271" s="142" t="s">
        <v>22</v>
      </c>
      <c r="G1271" s="142" t="s">
        <v>1160</v>
      </c>
      <c r="H1271" s="142" t="s">
        <v>44</v>
      </c>
    </row>
    <row r="1272" spans="1:8" x14ac:dyDescent="0.3">
      <c r="A1272" s="31">
        <v>1</v>
      </c>
      <c r="B1272" s="121">
        <v>22020102</v>
      </c>
      <c r="C1272" s="122" t="s">
        <v>216</v>
      </c>
      <c r="D1272" s="123">
        <v>1000000</v>
      </c>
      <c r="E1272" s="32">
        <v>0</v>
      </c>
      <c r="F1272" s="32">
        <v>800000</v>
      </c>
      <c r="G1272" s="32">
        <f t="shared" ref="G1272:G1278" si="65">D1272-E1272+F1272</f>
        <v>1800000</v>
      </c>
      <c r="H1272" s="32" t="s">
        <v>240</v>
      </c>
    </row>
    <row r="1273" spans="1:8" x14ac:dyDescent="0.3">
      <c r="A1273" s="31">
        <v>2</v>
      </c>
      <c r="B1273" s="121">
        <v>22020201</v>
      </c>
      <c r="C1273" s="122" t="s">
        <v>217</v>
      </c>
      <c r="D1273" s="123">
        <v>400000</v>
      </c>
      <c r="E1273" s="32">
        <v>0</v>
      </c>
      <c r="F1273" s="32">
        <v>200000</v>
      </c>
      <c r="G1273" s="32">
        <f t="shared" si="65"/>
        <v>600000</v>
      </c>
      <c r="H1273" s="32" t="s">
        <v>240</v>
      </c>
    </row>
    <row r="1274" spans="1:8" x14ac:dyDescent="0.3">
      <c r="A1274" s="31">
        <v>3</v>
      </c>
      <c r="B1274" s="121">
        <v>22020202</v>
      </c>
      <c r="C1274" s="122" t="s">
        <v>218</v>
      </c>
      <c r="D1274" s="123">
        <v>200000</v>
      </c>
      <c r="E1274" s="32">
        <v>0</v>
      </c>
      <c r="F1274" s="32">
        <v>100000</v>
      </c>
      <c r="G1274" s="32">
        <f t="shared" si="65"/>
        <v>300000</v>
      </c>
      <c r="H1274" s="32" t="s">
        <v>240</v>
      </c>
    </row>
    <row r="1275" spans="1:8" x14ac:dyDescent="0.3">
      <c r="A1275" s="31">
        <v>4</v>
      </c>
      <c r="B1275" s="121">
        <v>22020301</v>
      </c>
      <c r="C1275" s="122" t="s">
        <v>220</v>
      </c>
      <c r="D1275" s="123">
        <v>250000</v>
      </c>
      <c r="E1275" s="32">
        <v>0</v>
      </c>
      <c r="F1275" s="32">
        <v>650000</v>
      </c>
      <c r="G1275" s="32">
        <f t="shared" si="65"/>
        <v>900000</v>
      </c>
      <c r="H1275" s="32" t="s">
        <v>240</v>
      </c>
    </row>
    <row r="1276" spans="1:8" ht="20.399999999999999" x14ac:dyDescent="0.3">
      <c r="A1276" s="31">
        <v>5</v>
      </c>
      <c r="B1276" s="121">
        <v>22020401</v>
      </c>
      <c r="C1276" s="122" t="s">
        <v>222</v>
      </c>
      <c r="D1276" s="123">
        <v>350000</v>
      </c>
      <c r="E1276" s="32">
        <v>0</v>
      </c>
      <c r="F1276" s="32">
        <v>200000</v>
      </c>
      <c r="G1276" s="32">
        <f t="shared" si="65"/>
        <v>550000</v>
      </c>
      <c r="H1276" s="32" t="s">
        <v>240</v>
      </c>
    </row>
    <row r="1277" spans="1:8" x14ac:dyDescent="0.3">
      <c r="A1277" s="31">
        <v>6</v>
      </c>
      <c r="B1277" s="121">
        <v>22020501</v>
      </c>
      <c r="C1277" s="122" t="s">
        <v>225</v>
      </c>
      <c r="D1277" s="123">
        <v>500000</v>
      </c>
      <c r="E1277" s="32">
        <v>0</v>
      </c>
      <c r="F1277" s="32">
        <v>200000</v>
      </c>
      <c r="G1277" s="32">
        <f t="shared" si="65"/>
        <v>700000</v>
      </c>
      <c r="H1277" s="32" t="s">
        <v>240</v>
      </c>
    </row>
    <row r="1278" spans="1:8" x14ac:dyDescent="0.3">
      <c r="A1278" s="31">
        <v>7</v>
      </c>
      <c r="B1278" s="121">
        <v>22021001</v>
      </c>
      <c r="C1278" s="122" t="s">
        <v>229</v>
      </c>
      <c r="D1278" s="123">
        <v>150000</v>
      </c>
      <c r="E1278" s="32">
        <v>0</v>
      </c>
      <c r="F1278" s="32"/>
      <c r="G1278" s="32">
        <f t="shared" si="65"/>
        <v>150000</v>
      </c>
      <c r="H1278" s="31"/>
    </row>
    <row r="1279" spans="1:8" x14ac:dyDescent="0.3">
      <c r="A1279" s="589" t="s">
        <v>23</v>
      </c>
      <c r="B1279" s="589"/>
      <c r="C1279" s="589"/>
      <c r="D1279" s="119">
        <f>SUM(D1270:D1278)</f>
        <v>2850000</v>
      </c>
      <c r="E1279" s="117">
        <f t="shared" ref="E1279:F1279" si="66">SUM(E1272:E1278)</f>
        <v>0</v>
      </c>
      <c r="F1279" s="119">
        <f t="shared" si="66"/>
        <v>2150000</v>
      </c>
      <c r="G1279" s="119">
        <f>SUM(G1272:G1278)</f>
        <v>5000000</v>
      </c>
      <c r="H1279" s="119"/>
    </row>
    <row r="1297" spans="1:8" x14ac:dyDescent="0.3">
      <c r="A1297" s="587" t="s">
        <v>213</v>
      </c>
      <c r="B1297" s="587"/>
      <c r="C1297" s="587"/>
      <c r="D1297" s="587"/>
      <c r="E1297" s="587"/>
      <c r="F1297" s="587"/>
      <c r="G1297" s="587"/>
      <c r="H1297" s="587"/>
    </row>
    <row r="1298" spans="1:8" x14ac:dyDescent="0.3">
      <c r="A1298" s="587" t="s">
        <v>1159</v>
      </c>
      <c r="B1298" s="587"/>
      <c r="C1298" s="587"/>
      <c r="D1298" s="587"/>
      <c r="E1298" s="587"/>
      <c r="F1298" s="587"/>
      <c r="G1298" s="587"/>
      <c r="H1298" s="587"/>
    </row>
    <row r="1299" spans="1:8" x14ac:dyDescent="0.3">
      <c r="A1299" s="587" t="s">
        <v>215</v>
      </c>
      <c r="B1299" s="587"/>
      <c r="C1299" s="587"/>
      <c r="D1299" s="587"/>
      <c r="E1299" s="587"/>
      <c r="F1299" s="587"/>
      <c r="G1299" s="587"/>
      <c r="H1299" s="587"/>
    </row>
    <row r="1300" spans="1:8" x14ac:dyDescent="0.3">
      <c r="A1300" s="336"/>
      <c r="B1300" s="336"/>
      <c r="C1300" s="336"/>
      <c r="D1300" s="336"/>
      <c r="E1300" s="336"/>
      <c r="F1300" s="336"/>
      <c r="G1300" s="336"/>
    </row>
    <row r="1301" spans="1:8" x14ac:dyDescent="0.3">
      <c r="A1301" s="33" t="s">
        <v>672</v>
      </c>
      <c r="B1301" s="33"/>
      <c r="C1301" s="33"/>
      <c r="D1301" s="33"/>
      <c r="E1301" s="33"/>
      <c r="F1301" s="33"/>
      <c r="G1301" s="34"/>
    </row>
    <row r="1302" spans="1:8" x14ac:dyDescent="0.3">
      <c r="A1302" s="34"/>
      <c r="B1302" s="336"/>
      <c r="C1302" s="34"/>
      <c r="D1302" s="34"/>
      <c r="E1302" s="34"/>
      <c r="F1302" s="34"/>
      <c r="G1302" s="34"/>
    </row>
    <row r="1303" spans="1:8" x14ac:dyDescent="0.3">
      <c r="A1303" s="337" t="s">
        <v>673</v>
      </c>
      <c r="B1303" s="337"/>
      <c r="C1303" s="337"/>
      <c r="D1303" s="34"/>
      <c r="E1303" s="34"/>
      <c r="F1303" s="34"/>
      <c r="G1303" s="34"/>
    </row>
    <row r="1304" spans="1:8" ht="24" x14ac:dyDescent="0.3">
      <c r="A1304" s="142" t="s">
        <v>0</v>
      </c>
      <c r="B1304" s="142" t="s">
        <v>20</v>
      </c>
      <c r="C1304" s="142" t="s">
        <v>21</v>
      </c>
      <c r="D1304" s="142" t="s">
        <v>214</v>
      </c>
      <c r="E1304" s="142" t="s">
        <v>53</v>
      </c>
      <c r="F1304" s="142" t="s">
        <v>22</v>
      </c>
      <c r="G1304" s="142" t="s">
        <v>1160</v>
      </c>
      <c r="H1304" s="142" t="s">
        <v>44</v>
      </c>
    </row>
    <row r="1305" spans="1:8" x14ac:dyDescent="0.3">
      <c r="A1305" s="31">
        <v>1</v>
      </c>
      <c r="B1305" s="121">
        <v>22020102</v>
      </c>
      <c r="C1305" s="122" t="s">
        <v>216</v>
      </c>
      <c r="D1305" s="123">
        <v>3000000</v>
      </c>
      <c r="E1305" s="32">
        <v>0</v>
      </c>
      <c r="F1305" s="32">
        <v>0</v>
      </c>
      <c r="G1305" s="32">
        <f t="shared" ref="G1305:G1318" si="67">D1305-E1305+F1305</f>
        <v>3000000</v>
      </c>
      <c r="H1305" s="338"/>
    </row>
    <row r="1306" spans="1:8" x14ac:dyDescent="0.3">
      <c r="A1306" s="31">
        <v>2</v>
      </c>
      <c r="B1306" s="121">
        <v>22020201</v>
      </c>
      <c r="C1306" s="122" t="s">
        <v>217</v>
      </c>
      <c r="D1306" s="123">
        <v>500000</v>
      </c>
      <c r="E1306" s="32">
        <v>0</v>
      </c>
      <c r="F1306" s="32">
        <v>0</v>
      </c>
      <c r="G1306" s="32">
        <f t="shared" si="67"/>
        <v>500000</v>
      </c>
      <c r="H1306" s="338"/>
    </row>
    <row r="1307" spans="1:8" x14ac:dyDescent="0.3">
      <c r="A1307" s="31">
        <v>3</v>
      </c>
      <c r="B1307" s="121">
        <v>22020202</v>
      </c>
      <c r="C1307" s="122" t="s">
        <v>218</v>
      </c>
      <c r="D1307" s="123">
        <v>200000</v>
      </c>
      <c r="E1307" s="32">
        <v>0</v>
      </c>
      <c r="F1307" s="32">
        <v>0</v>
      </c>
      <c r="G1307" s="32">
        <f t="shared" si="67"/>
        <v>200000</v>
      </c>
      <c r="H1307" s="338"/>
    </row>
    <row r="1308" spans="1:8" x14ac:dyDescent="0.3">
      <c r="A1308" s="31">
        <v>4</v>
      </c>
      <c r="B1308" s="121">
        <v>22020301</v>
      </c>
      <c r="C1308" s="122" t="s">
        <v>220</v>
      </c>
      <c r="D1308" s="123">
        <v>3000000</v>
      </c>
      <c r="E1308" s="32">
        <v>0</v>
      </c>
      <c r="F1308" s="32">
        <v>0</v>
      </c>
      <c r="G1308" s="32">
        <f t="shared" si="67"/>
        <v>3000000</v>
      </c>
      <c r="H1308" s="338"/>
    </row>
    <row r="1309" spans="1:8" x14ac:dyDescent="0.3">
      <c r="A1309" s="31">
        <v>5</v>
      </c>
      <c r="B1309" s="121">
        <v>22020305</v>
      </c>
      <c r="C1309" s="122" t="s">
        <v>233</v>
      </c>
      <c r="D1309" s="123">
        <v>3000000</v>
      </c>
      <c r="E1309" s="32">
        <v>0</v>
      </c>
      <c r="F1309" s="32">
        <v>0</v>
      </c>
      <c r="G1309" s="32">
        <f t="shared" si="67"/>
        <v>3000000</v>
      </c>
      <c r="H1309" s="338"/>
    </row>
    <row r="1310" spans="1:8" ht="20.399999999999999" x14ac:dyDescent="0.3">
      <c r="A1310" s="31">
        <v>6</v>
      </c>
      <c r="B1310" s="121">
        <v>22020401</v>
      </c>
      <c r="C1310" s="122" t="s">
        <v>222</v>
      </c>
      <c r="D1310" s="123">
        <v>85000</v>
      </c>
      <c r="E1310" s="32">
        <v>0</v>
      </c>
      <c r="F1310" s="32">
        <v>0</v>
      </c>
      <c r="G1310" s="32">
        <f t="shared" si="67"/>
        <v>85000</v>
      </c>
      <c r="H1310" s="338"/>
    </row>
    <row r="1311" spans="1:8" x14ac:dyDescent="0.3">
      <c r="A1311" s="31">
        <v>7</v>
      </c>
      <c r="B1311" s="121">
        <v>22020402</v>
      </c>
      <c r="C1311" s="122" t="s">
        <v>223</v>
      </c>
      <c r="D1311" s="123">
        <v>500000</v>
      </c>
      <c r="E1311" s="32">
        <v>0</v>
      </c>
      <c r="F1311" s="32">
        <v>0</v>
      </c>
      <c r="G1311" s="32">
        <f t="shared" si="67"/>
        <v>500000</v>
      </c>
      <c r="H1311" s="338"/>
    </row>
    <row r="1312" spans="1:8" x14ac:dyDescent="0.3">
      <c r="A1312" s="31">
        <v>8</v>
      </c>
      <c r="B1312" s="121">
        <v>22020406</v>
      </c>
      <c r="C1312" s="122" t="s">
        <v>224</v>
      </c>
      <c r="D1312" s="123">
        <v>18000000</v>
      </c>
      <c r="E1312" s="32">
        <v>0</v>
      </c>
      <c r="F1312" s="32">
        <v>0</v>
      </c>
      <c r="G1312" s="32">
        <f t="shared" si="67"/>
        <v>18000000</v>
      </c>
      <c r="H1312" s="338"/>
    </row>
    <row r="1313" spans="1:8" x14ac:dyDescent="0.3">
      <c r="A1313" s="31">
        <v>9</v>
      </c>
      <c r="B1313" s="121">
        <v>22020501</v>
      </c>
      <c r="C1313" s="122" t="s">
        <v>225</v>
      </c>
      <c r="D1313" s="123">
        <v>2500000</v>
      </c>
      <c r="E1313" s="32">
        <v>0</v>
      </c>
      <c r="F1313" s="32">
        <v>4000000</v>
      </c>
      <c r="G1313" s="32">
        <f t="shared" si="67"/>
        <v>6500000</v>
      </c>
      <c r="H1313" s="32" t="s">
        <v>240</v>
      </c>
    </row>
    <row r="1314" spans="1:8" ht="20.25" customHeight="1" x14ac:dyDescent="0.3">
      <c r="A1314" s="31">
        <v>10</v>
      </c>
      <c r="B1314" s="121">
        <v>22020503</v>
      </c>
      <c r="C1314" s="122" t="s">
        <v>236</v>
      </c>
      <c r="D1314" s="123">
        <v>4000000</v>
      </c>
      <c r="E1314" s="32">
        <v>0</v>
      </c>
      <c r="F1314" s="32">
        <v>4000000</v>
      </c>
      <c r="G1314" s="32">
        <f t="shared" si="67"/>
        <v>8000000</v>
      </c>
      <c r="H1314" s="32" t="s">
        <v>240</v>
      </c>
    </row>
    <row r="1315" spans="1:8" x14ac:dyDescent="0.3">
      <c r="A1315" s="31">
        <v>11</v>
      </c>
      <c r="B1315" s="121">
        <v>22020604</v>
      </c>
      <c r="C1315" s="122" t="s">
        <v>251</v>
      </c>
      <c r="D1315" s="123">
        <v>15500000</v>
      </c>
      <c r="E1315" s="32">
        <v>0</v>
      </c>
      <c r="F1315" s="32">
        <v>0</v>
      </c>
      <c r="G1315" s="32">
        <f t="shared" si="67"/>
        <v>15500000</v>
      </c>
      <c r="H1315" s="32"/>
    </row>
    <row r="1316" spans="1:8" x14ac:dyDescent="0.3">
      <c r="A1316" s="31">
        <v>12</v>
      </c>
      <c r="B1316" s="121">
        <v>22021007</v>
      </c>
      <c r="C1316" s="122" t="s">
        <v>230</v>
      </c>
      <c r="D1316" s="123">
        <v>300000</v>
      </c>
      <c r="E1316" s="32">
        <v>0</v>
      </c>
      <c r="F1316" s="32">
        <v>0</v>
      </c>
      <c r="G1316" s="32">
        <f t="shared" si="67"/>
        <v>300000</v>
      </c>
      <c r="H1316" s="338"/>
    </row>
    <row r="1317" spans="1:8" x14ac:dyDescent="0.3">
      <c r="A1317" s="31">
        <v>13</v>
      </c>
      <c r="B1317" s="121">
        <v>22021052</v>
      </c>
      <c r="C1317" s="122" t="s">
        <v>252</v>
      </c>
      <c r="D1317" s="123">
        <v>6000000</v>
      </c>
      <c r="E1317" s="32">
        <v>0</v>
      </c>
      <c r="F1317" s="32">
        <v>0</v>
      </c>
      <c r="G1317" s="32">
        <f t="shared" si="67"/>
        <v>6000000</v>
      </c>
      <c r="H1317" s="338"/>
    </row>
    <row r="1318" spans="1:8" x14ac:dyDescent="0.3">
      <c r="A1318" s="31">
        <v>14</v>
      </c>
      <c r="B1318" s="121">
        <v>22021060</v>
      </c>
      <c r="C1318" s="122" t="s">
        <v>231</v>
      </c>
      <c r="D1318" s="123">
        <v>7000000</v>
      </c>
      <c r="E1318" s="32">
        <v>0</v>
      </c>
      <c r="F1318" s="32">
        <v>0</v>
      </c>
      <c r="G1318" s="32">
        <f t="shared" si="67"/>
        <v>7000000</v>
      </c>
      <c r="H1318" s="338"/>
    </row>
    <row r="1319" spans="1:8" x14ac:dyDescent="0.3">
      <c r="A1319" s="588" t="s">
        <v>23</v>
      </c>
      <c r="B1319" s="588"/>
      <c r="C1319" s="588"/>
      <c r="D1319" s="119">
        <f>SUM(D1305:D1318)</f>
        <v>63585000</v>
      </c>
      <c r="E1319" s="117">
        <f t="shared" ref="E1319:F1319" si="68">SUM(E1305:E1318)</f>
        <v>0</v>
      </c>
      <c r="F1319" s="119">
        <f t="shared" si="68"/>
        <v>8000000</v>
      </c>
      <c r="G1319" s="119">
        <f>SUM(G1305:G1318)</f>
        <v>71585000</v>
      </c>
      <c r="H1319" s="338"/>
    </row>
    <row r="1329" spans="1:9" x14ac:dyDescent="0.3">
      <c r="A1329" s="587" t="s">
        <v>213</v>
      </c>
      <c r="B1329" s="587"/>
      <c r="C1329" s="587"/>
      <c r="D1329" s="587"/>
      <c r="E1329" s="587"/>
      <c r="F1329" s="587"/>
      <c r="G1329" s="587"/>
      <c r="H1329" s="587"/>
    </row>
    <row r="1330" spans="1:9" x14ac:dyDescent="0.3">
      <c r="A1330" s="587" t="s">
        <v>1159</v>
      </c>
      <c r="B1330" s="587"/>
      <c r="C1330" s="587"/>
      <c r="D1330" s="587"/>
      <c r="E1330" s="587"/>
      <c r="F1330" s="587"/>
      <c r="G1330" s="587"/>
      <c r="H1330" s="587"/>
    </row>
    <row r="1331" spans="1:9" x14ac:dyDescent="0.3">
      <c r="A1331" s="587" t="s">
        <v>215</v>
      </c>
      <c r="B1331" s="587"/>
      <c r="C1331" s="587"/>
      <c r="D1331" s="587"/>
      <c r="E1331" s="587"/>
      <c r="F1331" s="587"/>
      <c r="G1331" s="587"/>
      <c r="H1331" s="587"/>
    </row>
    <row r="1332" spans="1:9" x14ac:dyDescent="0.3">
      <c r="A1332" s="336"/>
      <c r="B1332" s="336"/>
      <c r="C1332" s="336"/>
      <c r="D1332" s="336"/>
      <c r="E1332" s="336"/>
      <c r="F1332" s="336"/>
      <c r="G1332" s="336"/>
    </row>
    <row r="1333" spans="1:9" x14ac:dyDescent="0.3">
      <c r="A1333" s="33" t="s">
        <v>996</v>
      </c>
      <c r="B1333" s="33"/>
      <c r="C1333" s="33"/>
      <c r="D1333" s="33"/>
      <c r="E1333" s="33"/>
      <c r="F1333" s="33"/>
      <c r="G1333" s="34"/>
    </row>
    <row r="1334" spans="1:9" x14ac:dyDescent="0.3">
      <c r="A1334" s="34"/>
      <c r="B1334" s="336"/>
      <c r="C1334" s="34"/>
      <c r="D1334" s="34"/>
      <c r="E1334" s="34"/>
      <c r="F1334" s="34"/>
      <c r="G1334" s="34"/>
    </row>
    <row r="1335" spans="1:9" x14ac:dyDescent="0.3">
      <c r="A1335" s="337" t="s">
        <v>674</v>
      </c>
      <c r="B1335" s="337"/>
      <c r="C1335" s="337"/>
      <c r="D1335" s="34"/>
      <c r="E1335" s="34"/>
      <c r="F1335" s="34"/>
      <c r="G1335" s="34"/>
    </row>
    <row r="1336" spans="1:9" ht="24" x14ac:dyDescent="0.3">
      <c r="A1336" s="142" t="s">
        <v>0</v>
      </c>
      <c r="B1336" s="142" t="s">
        <v>20</v>
      </c>
      <c r="C1336" s="142" t="s">
        <v>21</v>
      </c>
      <c r="D1336" s="142" t="s">
        <v>214</v>
      </c>
      <c r="E1336" s="142" t="s">
        <v>53</v>
      </c>
      <c r="F1336" s="142" t="s">
        <v>22</v>
      </c>
      <c r="G1336" s="142" t="s">
        <v>1160</v>
      </c>
      <c r="H1336" s="142" t="s">
        <v>44</v>
      </c>
    </row>
    <row r="1337" spans="1:9" x14ac:dyDescent="0.3">
      <c r="A1337" s="31">
        <v>1</v>
      </c>
      <c r="B1337" s="121">
        <v>22020102</v>
      </c>
      <c r="C1337" s="122" t="s">
        <v>216</v>
      </c>
      <c r="D1337" s="32">
        <v>0</v>
      </c>
      <c r="E1337" s="32">
        <v>0</v>
      </c>
      <c r="F1337" s="32">
        <v>3000000</v>
      </c>
      <c r="G1337" s="32">
        <f t="shared" ref="G1337:G1346" si="69">D1337-E1337+F1337</f>
        <v>3000000</v>
      </c>
      <c r="H1337" s="31" t="s">
        <v>430</v>
      </c>
    </row>
    <row r="1338" spans="1:9" x14ac:dyDescent="0.3">
      <c r="A1338" s="31">
        <v>2</v>
      </c>
      <c r="B1338" s="121">
        <v>22020201</v>
      </c>
      <c r="C1338" s="122" t="s">
        <v>217</v>
      </c>
      <c r="D1338" s="32">
        <v>0</v>
      </c>
      <c r="E1338" s="32">
        <v>0</v>
      </c>
      <c r="F1338" s="32">
        <v>2000000</v>
      </c>
      <c r="G1338" s="32">
        <f t="shared" si="69"/>
        <v>2000000</v>
      </c>
      <c r="H1338" s="31" t="s">
        <v>430</v>
      </c>
    </row>
    <row r="1339" spans="1:9" x14ac:dyDescent="0.3">
      <c r="A1339" s="31">
        <v>3</v>
      </c>
      <c r="B1339" s="121">
        <v>22020301</v>
      </c>
      <c r="C1339" s="122" t="s">
        <v>220</v>
      </c>
      <c r="D1339" s="32">
        <v>0</v>
      </c>
      <c r="E1339" s="32">
        <v>0</v>
      </c>
      <c r="F1339" s="32">
        <v>1000000</v>
      </c>
      <c r="G1339" s="32">
        <f t="shared" si="69"/>
        <v>1000000</v>
      </c>
      <c r="H1339" s="31" t="s">
        <v>430</v>
      </c>
      <c r="I1339" s="8"/>
    </row>
    <row r="1340" spans="1:9" x14ac:dyDescent="0.3">
      <c r="A1340" s="31">
        <v>4</v>
      </c>
      <c r="B1340" s="121">
        <v>22020306</v>
      </c>
      <c r="C1340" s="122" t="s">
        <v>221</v>
      </c>
      <c r="D1340" s="32">
        <v>0</v>
      </c>
      <c r="E1340" s="32">
        <v>0</v>
      </c>
      <c r="F1340" s="32">
        <v>0</v>
      </c>
      <c r="G1340" s="32">
        <f t="shared" si="69"/>
        <v>0</v>
      </c>
      <c r="H1340" s="31" t="s">
        <v>430</v>
      </c>
    </row>
    <row r="1341" spans="1:9" ht="16.5" customHeight="1" x14ac:dyDescent="0.3">
      <c r="A1341" s="31">
        <v>5</v>
      </c>
      <c r="B1341" s="121">
        <v>22020405</v>
      </c>
      <c r="C1341" s="122" t="s">
        <v>248</v>
      </c>
      <c r="D1341" s="32">
        <v>0</v>
      </c>
      <c r="E1341" s="32">
        <v>0</v>
      </c>
      <c r="F1341" s="32">
        <v>1000000</v>
      </c>
      <c r="G1341" s="32">
        <f t="shared" si="69"/>
        <v>1000000</v>
      </c>
      <c r="H1341" s="31" t="s">
        <v>430</v>
      </c>
    </row>
    <row r="1342" spans="1:9" x14ac:dyDescent="0.3">
      <c r="A1342" s="31">
        <v>6</v>
      </c>
      <c r="B1342" s="121">
        <v>22020501</v>
      </c>
      <c r="C1342" s="122" t="s">
        <v>225</v>
      </c>
      <c r="D1342" s="32">
        <v>0</v>
      </c>
      <c r="E1342" s="32">
        <v>0</v>
      </c>
      <c r="F1342" s="32">
        <v>2000000</v>
      </c>
      <c r="G1342" s="32">
        <f t="shared" si="69"/>
        <v>2000000</v>
      </c>
      <c r="H1342" s="31" t="s">
        <v>430</v>
      </c>
    </row>
    <row r="1343" spans="1:9" ht="13.5" customHeight="1" x14ac:dyDescent="0.3">
      <c r="A1343" s="31"/>
      <c r="B1343" s="121">
        <v>22020503</v>
      </c>
      <c r="C1343" s="122" t="s">
        <v>236</v>
      </c>
      <c r="D1343" s="32">
        <v>0</v>
      </c>
      <c r="E1343" s="32">
        <v>0</v>
      </c>
      <c r="F1343" s="32">
        <v>905000</v>
      </c>
      <c r="G1343" s="32">
        <f t="shared" si="69"/>
        <v>905000</v>
      </c>
      <c r="H1343" s="31" t="s">
        <v>430</v>
      </c>
    </row>
    <row r="1344" spans="1:9" ht="20.399999999999999" x14ac:dyDescent="0.3">
      <c r="A1344" s="31">
        <v>7</v>
      </c>
      <c r="B1344" s="223">
        <v>22020401</v>
      </c>
      <c r="C1344" s="122" t="s">
        <v>222</v>
      </c>
      <c r="D1344" s="32">
        <v>0</v>
      </c>
      <c r="E1344" s="32">
        <v>0</v>
      </c>
      <c r="F1344" s="32">
        <v>2524000</v>
      </c>
      <c r="G1344" s="32">
        <f t="shared" si="69"/>
        <v>2524000</v>
      </c>
      <c r="H1344" s="31" t="s">
        <v>430</v>
      </c>
    </row>
    <row r="1345" spans="1:9" x14ac:dyDescent="0.3">
      <c r="A1345" s="31">
        <v>8</v>
      </c>
      <c r="B1345" s="121">
        <v>22021003</v>
      </c>
      <c r="C1345" s="122" t="s">
        <v>259</v>
      </c>
      <c r="D1345" s="32">
        <v>0</v>
      </c>
      <c r="E1345" s="32">
        <v>0</v>
      </c>
      <c r="F1345" s="32">
        <v>3086000</v>
      </c>
      <c r="G1345" s="32">
        <f t="shared" si="69"/>
        <v>3086000</v>
      </c>
      <c r="H1345" s="31" t="s">
        <v>430</v>
      </c>
      <c r="I1345" s="3"/>
    </row>
    <row r="1346" spans="1:9" x14ac:dyDescent="0.3">
      <c r="A1346" s="31">
        <v>9</v>
      </c>
      <c r="B1346" s="121">
        <v>22021060</v>
      </c>
      <c r="C1346" s="122" t="s">
        <v>231</v>
      </c>
      <c r="D1346" s="32">
        <v>0</v>
      </c>
      <c r="E1346" s="32">
        <v>0</v>
      </c>
      <c r="F1346" s="32">
        <v>15100000</v>
      </c>
      <c r="G1346" s="32">
        <f t="shared" si="69"/>
        <v>15100000</v>
      </c>
      <c r="H1346" s="31" t="s">
        <v>430</v>
      </c>
      <c r="I1346" s="4"/>
    </row>
    <row r="1347" spans="1:9" x14ac:dyDescent="0.3">
      <c r="A1347" s="588" t="s">
        <v>23</v>
      </c>
      <c r="B1347" s="588"/>
      <c r="C1347" s="588"/>
      <c r="D1347" s="119">
        <f>SUM(D1337:D1346)</f>
        <v>0</v>
      </c>
      <c r="E1347" s="119">
        <f>SUM(E1337:E1346)</f>
        <v>0</v>
      </c>
      <c r="F1347" s="119">
        <f>SUM(F1337:F1346)</f>
        <v>30615000</v>
      </c>
      <c r="G1347" s="119">
        <f>SUM(G1337:G1346)</f>
        <v>30615000</v>
      </c>
      <c r="H1347" s="338"/>
    </row>
    <row r="1362" spans="1:8" x14ac:dyDescent="0.3">
      <c r="A1362" s="587" t="s">
        <v>213</v>
      </c>
      <c r="B1362" s="587"/>
      <c r="C1362" s="587"/>
      <c r="D1362" s="587"/>
      <c r="E1362" s="587"/>
      <c r="F1362" s="587"/>
      <c r="G1362" s="587"/>
      <c r="H1362" s="587"/>
    </row>
    <row r="1363" spans="1:8" x14ac:dyDescent="0.3">
      <c r="A1363" s="587" t="s">
        <v>1159</v>
      </c>
      <c r="B1363" s="587"/>
      <c r="C1363" s="587"/>
      <c r="D1363" s="587"/>
      <c r="E1363" s="587"/>
      <c r="F1363" s="587"/>
      <c r="G1363" s="587"/>
      <c r="H1363" s="587"/>
    </row>
    <row r="1364" spans="1:8" x14ac:dyDescent="0.3">
      <c r="A1364" s="587" t="s">
        <v>215</v>
      </c>
      <c r="B1364" s="587"/>
      <c r="C1364" s="587"/>
      <c r="D1364" s="587"/>
      <c r="E1364" s="587"/>
      <c r="F1364" s="587"/>
      <c r="G1364" s="587"/>
      <c r="H1364" s="587"/>
    </row>
    <row r="1365" spans="1:8" x14ac:dyDescent="0.3">
      <c r="A1365" s="336"/>
      <c r="B1365" s="336"/>
      <c r="C1365" s="336"/>
      <c r="D1365" s="336"/>
      <c r="E1365" s="336"/>
      <c r="F1365" s="336"/>
      <c r="G1365" s="336"/>
    </row>
    <row r="1366" spans="1:8" x14ac:dyDescent="0.3">
      <c r="A1366" s="33" t="s">
        <v>675</v>
      </c>
      <c r="B1366" s="33"/>
      <c r="C1366" s="33"/>
      <c r="D1366" s="33"/>
      <c r="E1366" s="33"/>
      <c r="F1366" s="33"/>
      <c r="G1366" s="34"/>
    </row>
    <row r="1367" spans="1:8" x14ac:dyDescent="0.3">
      <c r="A1367" s="34"/>
      <c r="B1367" s="336"/>
      <c r="C1367" s="34"/>
      <c r="D1367" s="34"/>
      <c r="E1367" s="34"/>
      <c r="F1367" s="34"/>
      <c r="G1367" s="34"/>
    </row>
    <row r="1368" spans="1:8" x14ac:dyDescent="0.3">
      <c r="A1368" s="337" t="s">
        <v>676</v>
      </c>
      <c r="B1368" s="337"/>
      <c r="C1368" s="337"/>
      <c r="D1368" s="34"/>
      <c r="E1368" s="34"/>
      <c r="F1368" s="34"/>
      <c r="G1368" s="34"/>
    </row>
    <row r="1369" spans="1:8" ht="24" x14ac:dyDescent="0.3">
      <c r="A1369" s="142" t="s">
        <v>0</v>
      </c>
      <c r="B1369" s="142" t="s">
        <v>20</v>
      </c>
      <c r="C1369" s="142" t="s">
        <v>21</v>
      </c>
      <c r="D1369" s="142" t="s">
        <v>214</v>
      </c>
      <c r="E1369" s="142" t="s">
        <v>53</v>
      </c>
      <c r="F1369" s="142" t="s">
        <v>22</v>
      </c>
      <c r="G1369" s="142" t="s">
        <v>1160</v>
      </c>
      <c r="H1369" s="142" t="s">
        <v>44</v>
      </c>
    </row>
    <row r="1370" spans="1:8" x14ac:dyDescent="0.3">
      <c r="A1370" s="31">
        <v>1</v>
      </c>
      <c r="B1370" s="121">
        <v>22020102</v>
      </c>
      <c r="C1370" s="122" t="s">
        <v>216</v>
      </c>
      <c r="D1370" s="123">
        <v>665000</v>
      </c>
      <c r="E1370" s="32">
        <v>0</v>
      </c>
      <c r="F1370" s="32">
        <v>0</v>
      </c>
      <c r="G1370" s="32">
        <f t="shared" ref="G1370:G1391" si="70">D1370-E1370+F1370</f>
        <v>665000</v>
      </c>
      <c r="H1370" s="31"/>
    </row>
    <row r="1371" spans="1:8" x14ac:dyDescent="0.3">
      <c r="A1371" s="31">
        <v>2</v>
      </c>
      <c r="B1371" s="121">
        <v>22020201</v>
      </c>
      <c r="C1371" s="122" t="s">
        <v>217</v>
      </c>
      <c r="D1371" s="123">
        <v>760000</v>
      </c>
      <c r="E1371" s="32">
        <v>0</v>
      </c>
      <c r="F1371" s="32">
        <v>0</v>
      </c>
      <c r="G1371" s="32">
        <f t="shared" si="70"/>
        <v>760000</v>
      </c>
      <c r="H1371" s="31"/>
    </row>
    <row r="1372" spans="1:8" x14ac:dyDescent="0.3">
      <c r="A1372" s="31">
        <v>3</v>
      </c>
      <c r="B1372" s="121">
        <v>22020202</v>
      </c>
      <c r="C1372" s="122" t="s">
        <v>218</v>
      </c>
      <c r="D1372" s="123">
        <v>190000</v>
      </c>
      <c r="E1372" s="32">
        <v>0</v>
      </c>
      <c r="F1372" s="32">
        <v>0</v>
      </c>
      <c r="G1372" s="32">
        <f t="shared" si="70"/>
        <v>190000</v>
      </c>
      <c r="H1372" s="31"/>
    </row>
    <row r="1373" spans="1:8" x14ac:dyDescent="0.3">
      <c r="A1373" s="31">
        <v>4</v>
      </c>
      <c r="B1373" s="121">
        <v>22020203</v>
      </c>
      <c r="C1373" s="122" t="s">
        <v>219</v>
      </c>
      <c r="D1373" s="123">
        <v>95000</v>
      </c>
      <c r="E1373" s="32">
        <v>0</v>
      </c>
      <c r="F1373" s="32">
        <v>0</v>
      </c>
      <c r="G1373" s="32">
        <f t="shared" si="70"/>
        <v>95000</v>
      </c>
      <c r="H1373" s="31"/>
    </row>
    <row r="1374" spans="1:8" x14ac:dyDescent="0.3">
      <c r="A1374" s="31">
        <v>5</v>
      </c>
      <c r="B1374" s="121">
        <v>22020301</v>
      </c>
      <c r="C1374" s="122" t="s">
        <v>220</v>
      </c>
      <c r="D1374" s="123">
        <v>475000</v>
      </c>
      <c r="E1374" s="32">
        <v>0</v>
      </c>
      <c r="F1374" s="32">
        <v>0</v>
      </c>
      <c r="G1374" s="32">
        <f t="shared" si="70"/>
        <v>475000</v>
      </c>
      <c r="H1374" s="31"/>
    </row>
    <row r="1375" spans="1:8" x14ac:dyDescent="0.3">
      <c r="A1375" s="31">
        <v>6</v>
      </c>
      <c r="B1375" s="121">
        <v>22020303</v>
      </c>
      <c r="C1375" s="122" t="s">
        <v>276</v>
      </c>
      <c r="D1375" s="123">
        <v>190000</v>
      </c>
      <c r="E1375" s="32">
        <v>0</v>
      </c>
      <c r="F1375" s="32">
        <v>0</v>
      </c>
      <c r="G1375" s="32">
        <f t="shared" si="70"/>
        <v>190000</v>
      </c>
      <c r="H1375" s="31"/>
    </row>
    <row r="1376" spans="1:8" x14ac:dyDescent="0.3">
      <c r="A1376" s="31">
        <v>7</v>
      </c>
      <c r="B1376" s="121">
        <v>22020304</v>
      </c>
      <c r="C1376" s="122" t="s">
        <v>241</v>
      </c>
      <c r="D1376" s="123">
        <v>95000</v>
      </c>
      <c r="E1376" s="32">
        <v>0</v>
      </c>
      <c r="F1376" s="32">
        <v>0</v>
      </c>
      <c r="G1376" s="32">
        <f t="shared" si="70"/>
        <v>95000</v>
      </c>
      <c r="H1376" s="31"/>
    </row>
    <row r="1377" spans="1:8" ht="20.399999999999999" x14ac:dyDescent="0.3">
      <c r="A1377" s="31">
        <v>8</v>
      </c>
      <c r="B1377" s="121">
        <v>22020401</v>
      </c>
      <c r="C1377" s="122" t="s">
        <v>222</v>
      </c>
      <c r="D1377" s="123">
        <v>1425000</v>
      </c>
      <c r="E1377" s="32">
        <v>0</v>
      </c>
      <c r="F1377" s="32">
        <v>0</v>
      </c>
      <c r="G1377" s="32">
        <f t="shared" si="70"/>
        <v>1425000</v>
      </c>
      <c r="H1377" s="31"/>
    </row>
    <row r="1378" spans="1:8" x14ac:dyDescent="0.3">
      <c r="A1378" s="31">
        <v>9</v>
      </c>
      <c r="B1378" s="121">
        <v>22020402</v>
      </c>
      <c r="C1378" s="122" t="s">
        <v>223</v>
      </c>
      <c r="D1378" s="123">
        <v>522500</v>
      </c>
      <c r="E1378" s="32">
        <v>0</v>
      </c>
      <c r="F1378" s="32">
        <v>0</v>
      </c>
      <c r="G1378" s="32">
        <f t="shared" si="70"/>
        <v>522500</v>
      </c>
      <c r="H1378" s="31"/>
    </row>
    <row r="1379" spans="1:8" x14ac:dyDescent="0.3">
      <c r="A1379" s="31">
        <v>10</v>
      </c>
      <c r="B1379" s="121">
        <v>22020405</v>
      </c>
      <c r="C1379" s="122" t="s">
        <v>248</v>
      </c>
      <c r="D1379" s="123">
        <v>760000</v>
      </c>
      <c r="E1379" s="32">
        <v>0</v>
      </c>
      <c r="F1379" s="32">
        <v>0</v>
      </c>
      <c r="G1379" s="32">
        <f t="shared" si="70"/>
        <v>760000</v>
      </c>
      <c r="H1379" s="31"/>
    </row>
    <row r="1380" spans="1:8" x14ac:dyDescent="0.3">
      <c r="A1380" s="31">
        <v>11</v>
      </c>
      <c r="B1380" s="121">
        <v>22020406</v>
      </c>
      <c r="C1380" s="122" t="s">
        <v>224</v>
      </c>
      <c r="D1380" s="123">
        <v>20000000</v>
      </c>
      <c r="E1380" s="32">
        <v>0</v>
      </c>
      <c r="F1380" s="32"/>
      <c r="G1380" s="32">
        <f t="shared" si="70"/>
        <v>20000000</v>
      </c>
      <c r="H1380" s="31"/>
    </row>
    <row r="1381" spans="1:8" x14ac:dyDescent="0.3">
      <c r="A1381" s="31">
        <v>12</v>
      </c>
      <c r="B1381" s="121">
        <v>22020412</v>
      </c>
      <c r="C1381" s="122" t="s">
        <v>509</v>
      </c>
      <c r="D1381" s="123">
        <v>4000000</v>
      </c>
      <c r="E1381" s="32">
        <v>0</v>
      </c>
      <c r="F1381" s="32">
        <v>5000000</v>
      </c>
      <c r="G1381" s="32">
        <f t="shared" si="70"/>
        <v>9000000</v>
      </c>
      <c r="H1381" s="31" t="s">
        <v>240</v>
      </c>
    </row>
    <row r="1382" spans="1:8" x14ac:dyDescent="0.3">
      <c r="A1382" s="31">
        <v>13</v>
      </c>
      <c r="B1382" s="121">
        <v>22020501</v>
      </c>
      <c r="C1382" s="122" t="s">
        <v>225</v>
      </c>
      <c r="D1382" s="123">
        <v>950000</v>
      </c>
      <c r="E1382" s="32">
        <v>0</v>
      </c>
      <c r="F1382" s="32">
        <v>0</v>
      </c>
      <c r="G1382" s="32">
        <f t="shared" si="70"/>
        <v>950000</v>
      </c>
      <c r="H1382" s="31"/>
    </row>
    <row r="1383" spans="1:8" x14ac:dyDescent="0.3">
      <c r="A1383" s="31">
        <v>14</v>
      </c>
      <c r="B1383" s="121">
        <v>22020503</v>
      </c>
      <c r="C1383" s="122" t="s">
        <v>236</v>
      </c>
      <c r="D1383" s="123">
        <v>2618000</v>
      </c>
      <c r="E1383" s="32">
        <v>0</v>
      </c>
      <c r="F1383" s="32">
        <v>0</v>
      </c>
      <c r="G1383" s="32">
        <f t="shared" si="70"/>
        <v>2618000</v>
      </c>
      <c r="H1383" s="31"/>
    </row>
    <row r="1384" spans="1:8" x14ac:dyDescent="0.3">
      <c r="A1384" s="31">
        <v>15</v>
      </c>
      <c r="B1384" s="121">
        <v>22020601</v>
      </c>
      <c r="C1384" s="122" t="s">
        <v>226</v>
      </c>
      <c r="D1384" s="123">
        <v>475000</v>
      </c>
      <c r="E1384" s="32">
        <v>0</v>
      </c>
      <c r="F1384" s="32">
        <v>0</v>
      </c>
      <c r="G1384" s="32">
        <f t="shared" si="70"/>
        <v>475000</v>
      </c>
      <c r="H1384" s="31"/>
    </row>
    <row r="1385" spans="1:8" x14ac:dyDescent="0.3">
      <c r="A1385" s="31">
        <v>16</v>
      </c>
      <c r="B1385" s="121">
        <v>22020605</v>
      </c>
      <c r="C1385" s="122" t="s">
        <v>238</v>
      </c>
      <c r="D1385" s="123">
        <v>190000</v>
      </c>
      <c r="E1385" s="32">
        <v>0</v>
      </c>
      <c r="F1385" s="32">
        <v>0</v>
      </c>
      <c r="G1385" s="32">
        <f t="shared" si="70"/>
        <v>190000</v>
      </c>
      <c r="H1385" s="31"/>
    </row>
    <row r="1386" spans="1:8" x14ac:dyDescent="0.3">
      <c r="A1386" s="31">
        <v>17</v>
      </c>
      <c r="B1386" s="121">
        <v>22020709</v>
      </c>
      <c r="C1386" s="122" t="s">
        <v>411</v>
      </c>
      <c r="D1386" s="123">
        <v>1472500</v>
      </c>
      <c r="E1386" s="32">
        <v>0</v>
      </c>
      <c r="F1386" s="32">
        <v>0</v>
      </c>
      <c r="G1386" s="32">
        <f t="shared" si="70"/>
        <v>1472500</v>
      </c>
      <c r="H1386" s="31"/>
    </row>
    <row r="1387" spans="1:8" x14ac:dyDescent="0.3">
      <c r="A1387" s="31">
        <v>18</v>
      </c>
      <c r="B1387" s="121">
        <v>22020711</v>
      </c>
      <c r="C1387" s="122" t="s">
        <v>227</v>
      </c>
      <c r="D1387" s="123">
        <v>285000</v>
      </c>
      <c r="E1387" s="32">
        <v>0</v>
      </c>
      <c r="F1387" s="32">
        <v>0</v>
      </c>
      <c r="G1387" s="32">
        <f t="shared" si="70"/>
        <v>285000</v>
      </c>
      <c r="H1387" s="31"/>
    </row>
    <row r="1388" spans="1:8" x14ac:dyDescent="0.3">
      <c r="A1388" s="31">
        <v>19</v>
      </c>
      <c r="B1388" s="121">
        <v>22020801</v>
      </c>
      <c r="C1388" s="122" t="s">
        <v>228</v>
      </c>
      <c r="D1388" s="123">
        <v>2665000</v>
      </c>
      <c r="E1388" s="32">
        <v>0</v>
      </c>
      <c r="F1388" s="32">
        <v>0</v>
      </c>
      <c r="G1388" s="32">
        <f t="shared" si="70"/>
        <v>2665000</v>
      </c>
      <c r="H1388" s="31"/>
    </row>
    <row r="1389" spans="1:8" x14ac:dyDescent="0.3">
      <c r="A1389" s="31">
        <v>20</v>
      </c>
      <c r="B1389" s="121">
        <v>22021001</v>
      </c>
      <c r="C1389" s="122" t="s">
        <v>229</v>
      </c>
      <c r="D1389" s="123">
        <v>475000</v>
      </c>
      <c r="E1389" s="32">
        <v>0</v>
      </c>
      <c r="F1389" s="32">
        <v>0</v>
      </c>
      <c r="G1389" s="32">
        <f t="shared" si="70"/>
        <v>475000</v>
      </c>
      <c r="H1389" s="31"/>
    </row>
    <row r="1390" spans="1:8" x14ac:dyDescent="0.3">
      <c r="A1390" s="31">
        <v>21</v>
      </c>
      <c r="B1390" s="121">
        <v>22021002</v>
      </c>
      <c r="C1390" s="122" t="s">
        <v>243</v>
      </c>
      <c r="D1390" s="123">
        <v>190000</v>
      </c>
      <c r="E1390" s="32">
        <v>0</v>
      </c>
      <c r="F1390" s="32">
        <v>0</v>
      </c>
      <c r="G1390" s="32">
        <f t="shared" si="70"/>
        <v>190000</v>
      </c>
      <c r="H1390" s="31"/>
    </row>
    <row r="1391" spans="1:8" x14ac:dyDescent="0.3">
      <c r="A1391" s="31">
        <v>22</v>
      </c>
      <c r="B1391" s="121">
        <v>22021003</v>
      </c>
      <c r="C1391" s="122" t="s">
        <v>259</v>
      </c>
      <c r="D1391" s="123">
        <v>1000000</v>
      </c>
      <c r="E1391" s="32">
        <v>0</v>
      </c>
      <c r="F1391" s="32">
        <v>0</v>
      </c>
      <c r="G1391" s="32">
        <f t="shared" si="70"/>
        <v>1000000</v>
      </c>
      <c r="H1391" s="31"/>
    </row>
    <row r="1392" spans="1:8" ht="24" x14ac:dyDescent="0.3">
      <c r="A1392" s="142" t="s">
        <v>0</v>
      </c>
      <c r="B1392" s="142" t="s">
        <v>20</v>
      </c>
      <c r="C1392" s="142" t="s">
        <v>21</v>
      </c>
      <c r="D1392" s="142" t="s">
        <v>214</v>
      </c>
      <c r="E1392" s="142" t="s">
        <v>53</v>
      </c>
      <c r="F1392" s="142" t="s">
        <v>22</v>
      </c>
      <c r="G1392" s="142" t="s">
        <v>1160</v>
      </c>
      <c r="H1392" s="142" t="s">
        <v>44</v>
      </c>
    </row>
    <row r="1393" spans="1:8" x14ac:dyDescent="0.3">
      <c r="A1393" s="31">
        <v>23</v>
      </c>
      <c r="B1393" s="121">
        <v>22021006</v>
      </c>
      <c r="C1393" s="122" t="s">
        <v>287</v>
      </c>
      <c r="D1393" s="123">
        <v>190000</v>
      </c>
      <c r="E1393" s="32">
        <v>0</v>
      </c>
      <c r="F1393" s="32">
        <v>0</v>
      </c>
      <c r="G1393" s="32">
        <f t="shared" ref="G1393:G1398" si="71">D1393-E1393+F1393</f>
        <v>190000</v>
      </c>
      <c r="H1393" s="31"/>
    </row>
    <row r="1394" spans="1:8" x14ac:dyDescent="0.3">
      <c r="A1394" s="31">
        <v>24</v>
      </c>
      <c r="B1394" s="121">
        <v>22021007</v>
      </c>
      <c r="C1394" s="122" t="s">
        <v>230</v>
      </c>
      <c r="D1394" s="123">
        <v>760000</v>
      </c>
      <c r="E1394" s="32">
        <v>0</v>
      </c>
      <c r="F1394" s="32">
        <v>0</v>
      </c>
      <c r="G1394" s="32">
        <f t="shared" si="71"/>
        <v>760000</v>
      </c>
      <c r="H1394" s="31"/>
    </row>
    <row r="1395" spans="1:8" x14ac:dyDescent="0.3">
      <c r="A1395" s="31">
        <v>25</v>
      </c>
      <c r="B1395" s="121">
        <v>22021008</v>
      </c>
      <c r="C1395" s="122" t="s">
        <v>249</v>
      </c>
      <c r="D1395" s="123">
        <v>285000</v>
      </c>
      <c r="E1395" s="32">
        <v>0</v>
      </c>
      <c r="F1395" s="32">
        <v>0</v>
      </c>
      <c r="G1395" s="32">
        <f t="shared" si="71"/>
        <v>285000</v>
      </c>
      <c r="H1395" s="31"/>
    </row>
    <row r="1396" spans="1:8" x14ac:dyDescent="0.3">
      <c r="A1396" s="31">
        <v>26</v>
      </c>
      <c r="B1396" s="121">
        <v>22021047</v>
      </c>
      <c r="C1396" s="122" t="s">
        <v>465</v>
      </c>
      <c r="D1396" s="123">
        <v>0</v>
      </c>
      <c r="E1396" s="32">
        <v>0</v>
      </c>
      <c r="F1396" s="32">
        <v>0</v>
      </c>
      <c r="G1396" s="32">
        <f t="shared" si="71"/>
        <v>0</v>
      </c>
      <c r="H1396" s="31"/>
    </row>
    <row r="1397" spans="1:8" x14ac:dyDescent="0.3">
      <c r="A1397" s="31">
        <v>27</v>
      </c>
      <c r="B1397" s="121">
        <v>22021052</v>
      </c>
      <c r="C1397" s="122" t="s">
        <v>252</v>
      </c>
      <c r="D1397" s="123">
        <v>1000000</v>
      </c>
      <c r="E1397" s="32">
        <v>0</v>
      </c>
      <c r="F1397" s="32">
        <v>0</v>
      </c>
      <c r="G1397" s="32">
        <f t="shared" si="71"/>
        <v>1000000</v>
      </c>
      <c r="H1397" s="31"/>
    </row>
    <row r="1398" spans="1:8" x14ac:dyDescent="0.3">
      <c r="A1398" s="31">
        <v>28</v>
      </c>
      <c r="B1398" s="121">
        <v>22021060</v>
      </c>
      <c r="C1398" s="122" t="s">
        <v>231</v>
      </c>
      <c r="D1398" s="123">
        <v>21267500</v>
      </c>
      <c r="E1398" s="32">
        <v>0</v>
      </c>
      <c r="F1398" s="32">
        <v>5000000</v>
      </c>
      <c r="G1398" s="32">
        <f t="shared" si="71"/>
        <v>26267500</v>
      </c>
      <c r="H1398" s="31" t="s">
        <v>240</v>
      </c>
    </row>
    <row r="1399" spans="1:8" x14ac:dyDescent="0.3">
      <c r="A1399" s="589" t="s">
        <v>23</v>
      </c>
      <c r="B1399" s="589"/>
      <c r="C1399" s="589"/>
      <c r="D1399" s="119">
        <f>SUM(D1370:D1398)</f>
        <v>63000500</v>
      </c>
      <c r="E1399" s="119">
        <f t="shared" ref="E1399:F1399" si="72">SUM(E1370:E1398)</f>
        <v>0</v>
      </c>
      <c r="F1399" s="119">
        <f t="shared" si="72"/>
        <v>10000000</v>
      </c>
      <c r="G1399" s="119">
        <f>SUM(G1370:G1398)</f>
        <v>73000500</v>
      </c>
      <c r="H1399" s="31"/>
    </row>
    <row r="1427" spans="1:8" x14ac:dyDescent="0.3">
      <c r="A1427" s="587" t="s">
        <v>213</v>
      </c>
      <c r="B1427" s="587"/>
      <c r="C1427" s="587"/>
      <c r="D1427" s="587"/>
      <c r="E1427" s="587"/>
      <c r="F1427" s="587"/>
      <c r="G1427" s="587"/>
      <c r="H1427" s="587"/>
    </row>
    <row r="1428" spans="1:8" x14ac:dyDescent="0.3">
      <c r="A1428" s="587" t="s">
        <v>1159</v>
      </c>
      <c r="B1428" s="587"/>
      <c r="C1428" s="587"/>
      <c r="D1428" s="587"/>
      <c r="E1428" s="587"/>
      <c r="F1428" s="587"/>
      <c r="G1428" s="587"/>
      <c r="H1428" s="587"/>
    </row>
    <row r="1429" spans="1:8" x14ac:dyDescent="0.3">
      <c r="A1429" s="587" t="s">
        <v>215</v>
      </c>
      <c r="B1429" s="587"/>
      <c r="C1429" s="587"/>
      <c r="D1429" s="587"/>
      <c r="E1429" s="587"/>
      <c r="F1429" s="587"/>
      <c r="G1429" s="587"/>
      <c r="H1429" s="587"/>
    </row>
    <row r="1430" spans="1:8" x14ac:dyDescent="0.3">
      <c r="A1430" s="336"/>
      <c r="B1430" s="336"/>
      <c r="C1430" s="336"/>
      <c r="D1430" s="336"/>
      <c r="E1430" s="336"/>
      <c r="F1430" s="336"/>
      <c r="G1430" s="336"/>
    </row>
    <row r="1431" spans="1:8" x14ac:dyDescent="0.3">
      <c r="A1431" s="33" t="s">
        <v>677</v>
      </c>
      <c r="B1431" s="33"/>
      <c r="C1431" s="33"/>
      <c r="D1431" s="33"/>
      <c r="E1431" s="33"/>
      <c r="F1431" s="33"/>
      <c r="G1431" s="34"/>
    </row>
    <row r="1432" spans="1:8" x14ac:dyDescent="0.3">
      <c r="A1432" s="34"/>
      <c r="B1432" s="336"/>
      <c r="C1432" s="34"/>
      <c r="D1432" s="34"/>
      <c r="E1432" s="34"/>
      <c r="F1432" s="34"/>
      <c r="G1432" s="34"/>
    </row>
    <row r="1433" spans="1:8" x14ac:dyDescent="0.3">
      <c r="A1433" s="337" t="s">
        <v>678</v>
      </c>
      <c r="B1433" s="337"/>
      <c r="C1433" s="337"/>
      <c r="D1433" s="34"/>
      <c r="E1433" s="34"/>
      <c r="F1433" s="34"/>
      <c r="G1433" s="34"/>
    </row>
    <row r="1434" spans="1:8" ht="24" x14ac:dyDescent="0.3">
      <c r="A1434" s="142" t="s">
        <v>0</v>
      </c>
      <c r="B1434" s="142" t="s">
        <v>20</v>
      </c>
      <c r="C1434" s="142" t="s">
        <v>21</v>
      </c>
      <c r="D1434" s="142" t="s">
        <v>214</v>
      </c>
      <c r="E1434" s="142" t="s">
        <v>53</v>
      </c>
      <c r="F1434" s="142" t="s">
        <v>22</v>
      </c>
      <c r="G1434" s="142" t="s">
        <v>1160</v>
      </c>
      <c r="H1434" s="142" t="s">
        <v>44</v>
      </c>
    </row>
    <row r="1435" spans="1:8" x14ac:dyDescent="0.3">
      <c r="A1435" s="31">
        <v>1</v>
      </c>
      <c r="B1435" s="121">
        <v>22020102</v>
      </c>
      <c r="C1435" s="122" t="s">
        <v>216</v>
      </c>
      <c r="D1435" s="123">
        <v>1300000</v>
      </c>
      <c r="E1435" s="32">
        <v>0</v>
      </c>
      <c r="F1435" s="32">
        <v>0</v>
      </c>
      <c r="G1435" s="32">
        <f t="shared" ref="G1435:G1453" si="73">D1435-E1435+F1435</f>
        <v>1300000</v>
      </c>
      <c r="H1435" s="338"/>
    </row>
    <row r="1436" spans="1:8" x14ac:dyDescent="0.3">
      <c r="A1436" s="31">
        <v>2</v>
      </c>
      <c r="B1436" s="121">
        <v>22020201</v>
      </c>
      <c r="C1436" s="122" t="s">
        <v>217</v>
      </c>
      <c r="D1436" s="123">
        <v>800000</v>
      </c>
      <c r="E1436" s="32">
        <v>0</v>
      </c>
      <c r="F1436" s="32">
        <v>0</v>
      </c>
      <c r="G1436" s="32">
        <f t="shared" si="73"/>
        <v>800000</v>
      </c>
      <c r="H1436" s="338"/>
    </row>
    <row r="1437" spans="1:8" x14ac:dyDescent="0.3">
      <c r="A1437" s="31">
        <v>3</v>
      </c>
      <c r="B1437" s="121">
        <v>22020202</v>
      </c>
      <c r="C1437" s="122" t="s">
        <v>218</v>
      </c>
      <c r="D1437" s="123">
        <v>400000</v>
      </c>
      <c r="E1437" s="32">
        <v>0</v>
      </c>
      <c r="F1437" s="32">
        <v>0</v>
      </c>
      <c r="G1437" s="32">
        <f t="shared" si="73"/>
        <v>400000</v>
      </c>
      <c r="H1437" s="338"/>
    </row>
    <row r="1438" spans="1:8" x14ac:dyDescent="0.3">
      <c r="A1438" s="31">
        <v>4</v>
      </c>
      <c r="B1438" s="121">
        <v>22020209</v>
      </c>
      <c r="C1438" s="122" t="s">
        <v>261</v>
      </c>
      <c r="D1438" s="123">
        <v>2000000</v>
      </c>
      <c r="E1438" s="32">
        <v>0</v>
      </c>
      <c r="F1438" s="32">
        <v>0</v>
      </c>
      <c r="G1438" s="32">
        <f t="shared" si="73"/>
        <v>2000000</v>
      </c>
      <c r="H1438" s="338"/>
    </row>
    <row r="1439" spans="1:8" x14ac:dyDescent="0.3">
      <c r="A1439" s="31">
        <v>5</v>
      </c>
      <c r="B1439" s="121">
        <v>22020301</v>
      </c>
      <c r="C1439" s="122" t="s">
        <v>220</v>
      </c>
      <c r="D1439" s="123">
        <v>1500000</v>
      </c>
      <c r="E1439" s="32">
        <v>0</v>
      </c>
      <c r="F1439" s="32">
        <v>0</v>
      </c>
      <c r="G1439" s="32">
        <f t="shared" si="73"/>
        <v>1500000</v>
      </c>
      <c r="H1439" s="338"/>
    </row>
    <row r="1440" spans="1:8" x14ac:dyDescent="0.3">
      <c r="A1440" s="31">
        <v>6</v>
      </c>
      <c r="B1440" s="121">
        <v>22020305</v>
      </c>
      <c r="C1440" s="122" t="s">
        <v>233</v>
      </c>
      <c r="D1440" s="123">
        <v>600000</v>
      </c>
      <c r="E1440" s="32">
        <v>0</v>
      </c>
      <c r="F1440" s="32">
        <v>0</v>
      </c>
      <c r="G1440" s="32">
        <f t="shared" si="73"/>
        <v>600000</v>
      </c>
      <c r="H1440" s="338"/>
    </row>
    <row r="1441" spans="1:9" ht="20.399999999999999" x14ac:dyDescent="0.3">
      <c r="A1441" s="31">
        <v>7</v>
      </c>
      <c r="B1441" s="121">
        <v>22020315</v>
      </c>
      <c r="C1441" s="122" t="s">
        <v>312</v>
      </c>
      <c r="D1441" s="123">
        <v>2000000</v>
      </c>
      <c r="E1441" s="32">
        <v>0</v>
      </c>
      <c r="F1441" s="32">
        <v>0</v>
      </c>
      <c r="G1441" s="32">
        <f t="shared" si="73"/>
        <v>2000000</v>
      </c>
      <c r="H1441" s="338"/>
    </row>
    <row r="1442" spans="1:9" ht="20.399999999999999" x14ac:dyDescent="0.3">
      <c r="A1442" s="31">
        <v>8</v>
      </c>
      <c r="B1442" s="121">
        <v>22020401</v>
      </c>
      <c r="C1442" s="122" t="s">
        <v>222</v>
      </c>
      <c r="D1442" s="123">
        <v>1500000</v>
      </c>
      <c r="E1442" s="32">
        <v>0</v>
      </c>
      <c r="F1442" s="32">
        <v>0</v>
      </c>
      <c r="G1442" s="32">
        <f t="shared" si="73"/>
        <v>1500000</v>
      </c>
      <c r="H1442" s="338"/>
    </row>
    <row r="1443" spans="1:9" x14ac:dyDescent="0.3">
      <c r="A1443" s="31">
        <v>9</v>
      </c>
      <c r="B1443" s="121">
        <v>22020402</v>
      </c>
      <c r="C1443" s="122" t="s">
        <v>223</v>
      </c>
      <c r="D1443" s="123">
        <v>2000000</v>
      </c>
      <c r="E1443" s="32">
        <v>0</v>
      </c>
      <c r="F1443" s="32">
        <v>0</v>
      </c>
      <c r="G1443" s="32">
        <f t="shared" si="73"/>
        <v>2000000</v>
      </c>
      <c r="H1443" s="338"/>
    </row>
    <row r="1444" spans="1:9" x14ac:dyDescent="0.3">
      <c r="A1444" s="31">
        <v>10</v>
      </c>
      <c r="B1444" s="121">
        <v>22020501</v>
      </c>
      <c r="C1444" s="122" t="s">
        <v>225</v>
      </c>
      <c r="D1444" s="123">
        <v>3525000</v>
      </c>
      <c r="E1444" s="32">
        <v>0</v>
      </c>
      <c r="F1444" s="32">
        <v>0</v>
      </c>
      <c r="G1444" s="32">
        <f t="shared" si="73"/>
        <v>3525000</v>
      </c>
      <c r="H1444" s="338"/>
    </row>
    <row r="1445" spans="1:9" ht="15.75" customHeight="1" x14ac:dyDescent="0.3">
      <c r="A1445" s="31">
        <v>11</v>
      </c>
      <c r="B1445" s="121">
        <v>22020503</v>
      </c>
      <c r="C1445" s="122" t="s">
        <v>236</v>
      </c>
      <c r="D1445" s="123">
        <v>3500000</v>
      </c>
      <c r="E1445" s="32">
        <v>0</v>
      </c>
      <c r="F1445" s="32">
        <v>0</v>
      </c>
      <c r="G1445" s="32">
        <f t="shared" si="73"/>
        <v>3500000</v>
      </c>
      <c r="H1445" s="338"/>
    </row>
    <row r="1446" spans="1:9" x14ac:dyDescent="0.3">
      <c r="A1446" s="31">
        <v>12</v>
      </c>
      <c r="B1446" s="121">
        <v>22021001</v>
      </c>
      <c r="C1446" s="122" t="s">
        <v>229</v>
      </c>
      <c r="D1446" s="123">
        <v>600000</v>
      </c>
      <c r="E1446" s="32">
        <v>0</v>
      </c>
      <c r="F1446" s="32">
        <v>0</v>
      </c>
      <c r="G1446" s="32">
        <f t="shared" si="73"/>
        <v>600000</v>
      </c>
      <c r="H1446" s="338"/>
    </row>
    <row r="1447" spans="1:9" x14ac:dyDescent="0.3">
      <c r="A1447" s="31">
        <v>13</v>
      </c>
      <c r="B1447" s="121">
        <v>22021002</v>
      </c>
      <c r="C1447" s="122" t="s">
        <v>243</v>
      </c>
      <c r="D1447" s="123">
        <v>4000000</v>
      </c>
      <c r="E1447" s="32">
        <v>0</v>
      </c>
      <c r="F1447" s="32">
        <v>0</v>
      </c>
      <c r="G1447" s="32">
        <f t="shared" si="73"/>
        <v>4000000</v>
      </c>
      <c r="H1447" s="338"/>
    </row>
    <row r="1448" spans="1:9" x14ac:dyDescent="0.3">
      <c r="A1448" s="31">
        <v>14</v>
      </c>
      <c r="B1448" s="121">
        <v>22021007</v>
      </c>
      <c r="C1448" s="122" t="s">
        <v>230</v>
      </c>
      <c r="D1448" s="123">
        <v>1000000</v>
      </c>
      <c r="E1448" s="32">
        <v>0</v>
      </c>
      <c r="F1448" s="32">
        <v>0</v>
      </c>
      <c r="G1448" s="32">
        <f t="shared" si="73"/>
        <v>1000000</v>
      </c>
      <c r="H1448" s="338"/>
    </row>
    <row r="1449" spans="1:9" ht="18.75" customHeight="1" x14ac:dyDescent="0.3">
      <c r="A1449" s="31">
        <v>15</v>
      </c>
      <c r="B1449" s="121">
        <v>22021012</v>
      </c>
      <c r="C1449" s="122" t="s">
        <v>313</v>
      </c>
      <c r="D1449" s="143">
        <v>0</v>
      </c>
      <c r="E1449" s="32">
        <v>0</v>
      </c>
      <c r="F1449" s="32">
        <v>0</v>
      </c>
      <c r="G1449" s="32">
        <f t="shared" si="73"/>
        <v>0</v>
      </c>
      <c r="H1449" s="338"/>
    </row>
    <row r="1450" spans="1:9" x14ac:dyDescent="0.3">
      <c r="A1450" s="31">
        <v>16</v>
      </c>
      <c r="B1450" s="121">
        <v>22021058</v>
      </c>
      <c r="C1450" s="122" t="s">
        <v>314</v>
      </c>
      <c r="D1450" s="123">
        <v>1600000</v>
      </c>
      <c r="E1450" s="32">
        <v>0</v>
      </c>
      <c r="F1450" s="32">
        <v>0</v>
      </c>
      <c r="G1450" s="32">
        <f t="shared" si="73"/>
        <v>1600000</v>
      </c>
      <c r="H1450" s="338"/>
    </row>
    <row r="1451" spans="1:9" x14ac:dyDescent="0.3">
      <c r="A1451" s="31">
        <v>17</v>
      </c>
      <c r="B1451" s="121">
        <v>22021060</v>
      </c>
      <c r="C1451" s="122" t="s">
        <v>231</v>
      </c>
      <c r="D1451" s="143">
        <v>0</v>
      </c>
      <c r="E1451" s="32">
        <v>0</v>
      </c>
      <c r="F1451" s="32">
        <v>5000000</v>
      </c>
      <c r="G1451" s="32">
        <f t="shared" si="73"/>
        <v>5000000</v>
      </c>
      <c r="H1451" s="31" t="s">
        <v>240</v>
      </c>
    </row>
    <row r="1452" spans="1:9" x14ac:dyDescent="0.3">
      <c r="A1452" s="31">
        <v>18</v>
      </c>
      <c r="B1452" s="121">
        <v>22040103</v>
      </c>
      <c r="C1452" s="122" t="s">
        <v>683</v>
      </c>
      <c r="D1452" s="143">
        <v>1500000</v>
      </c>
      <c r="E1452" s="32">
        <v>0</v>
      </c>
      <c r="F1452" s="32">
        <v>0</v>
      </c>
      <c r="G1452" s="32">
        <f t="shared" si="73"/>
        <v>1500000</v>
      </c>
      <c r="H1452" s="338"/>
    </row>
    <row r="1453" spans="1:9" ht="20.399999999999999" x14ac:dyDescent="0.3">
      <c r="A1453" s="31">
        <v>19</v>
      </c>
      <c r="B1453" s="121">
        <v>22070103</v>
      </c>
      <c r="C1453" s="122" t="s">
        <v>682</v>
      </c>
      <c r="D1453" s="32">
        <v>2565681000</v>
      </c>
      <c r="E1453" s="32">
        <v>0</v>
      </c>
      <c r="F1453" s="32">
        <v>0</v>
      </c>
      <c r="G1453" s="32">
        <f t="shared" si="73"/>
        <v>2565681000</v>
      </c>
      <c r="H1453" s="338"/>
    </row>
    <row r="1454" spans="1:9" x14ac:dyDescent="0.3">
      <c r="A1454" s="589" t="s">
        <v>23</v>
      </c>
      <c r="B1454" s="589"/>
      <c r="C1454" s="589"/>
      <c r="D1454" s="119">
        <f>SUM(D1435:D1453)</f>
        <v>2593506000</v>
      </c>
      <c r="E1454" s="117">
        <f t="shared" ref="E1454:G1454" si="74">SUM(E1435:E1453)</f>
        <v>0</v>
      </c>
      <c r="F1454" s="119">
        <f t="shared" si="74"/>
        <v>5000000</v>
      </c>
      <c r="G1454" s="119">
        <f t="shared" si="74"/>
        <v>2598506000</v>
      </c>
      <c r="H1454" s="168"/>
    </row>
    <row r="1456" spans="1:9" x14ac:dyDescent="0.3">
      <c r="I1456" s="3"/>
    </row>
    <row r="1457" spans="9:9" customFormat="1" x14ac:dyDescent="0.3">
      <c r="I1457" s="3"/>
    </row>
    <row r="1458" spans="9:9" customFormat="1" x14ac:dyDescent="0.3">
      <c r="I1458" s="3"/>
    </row>
    <row r="1459" spans="9:9" customFormat="1" x14ac:dyDescent="0.3"/>
    <row r="1460" spans="9:9" customFormat="1" x14ac:dyDescent="0.3">
      <c r="I1460" s="3"/>
    </row>
    <row r="1461" spans="9:9" customFormat="1" x14ac:dyDescent="0.3"/>
    <row r="1462" spans="9:9" customFormat="1" x14ac:dyDescent="0.3"/>
  </sheetData>
  <mergeCells count="160">
    <mergeCell ref="A700:C700"/>
    <mergeCell ref="A1167:H1167"/>
    <mergeCell ref="A1168:H1168"/>
    <mergeCell ref="A1169:H1169"/>
    <mergeCell ref="A1070:H1070"/>
    <mergeCell ref="A1071:H1071"/>
    <mergeCell ref="A1072:H1072"/>
    <mergeCell ref="A1098:C1098"/>
    <mergeCell ref="A1134:H1134"/>
    <mergeCell ref="A1135:H1135"/>
    <mergeCell ref="A1136:H1136"/>
    <mergeCell ref="A1164:C1164"/>
    <mergeCell ref="A713:H713"/>
    <mergeCell ref="A714:H714"/>
    <mergeCell ref="A715:H715"/>
    <mergeCell ref="A1003:H1003"/>
    <mergeCell ref="A822:C822"/>
    <mergeCell ref="A809:H809"/>
    <mergeCell ref="A1038:H1038"/>
    <mergeCell ref="A939:H939"/>
    <mergeCell ref="A940:H940"/>
    <mergeCell ref="A941:H941"/>
    <mergeCell ref="A989:C989"/>
    <mergeCell ref="A1037:H1037"/>
    <mergeCell ref="A1200:H1200"/>
    <mergeCell ref="A1297:H1297"/>
    <mergeCell ref="A1201:H1201"/>
    <mergeCell ref="A1202:H1202"/>
    <mergeCell ref="A1222:C1222"/>
    <mergeCell ref="A617:H617"/>
    <mergeCell ref="A1233:H1233"/>
    <mergeCell ref="A1427:H1427"/>
    <mergeCell ref="A1428:H1428"/>
    <mergeCell ref="A1399:C1399"/>
    <mergeCell ref="A1279:C1279"/>
    <mergeCell ref="A1264:H1264"/>
    <mergeCell ref="A1265:H1265"/>
    <mergeCell ref="A1266:H1266"/>
    <mergeCell ref="A1103:H1103"/>
    <mergeCell ref="A1104:H1104"/>
    <mergeCell ref="A1119:C1119"/>
    <mergeCell ref="A777:H777"/>
    <mergeCell ref="A778:H778"/>
    <mergeCell ref="A779:H779"/>
    <mergeCell ref="A804:C804"/>
    <mergeCell ref="A1234:H1234"/>
    <mergeCell ref="A1255:C1255"/>
    <mergeCell ref="A1232:H1232"/>
    <mergeCell ref="A647:H647"/>
    <mergeCell ref="A1004:H1004"/>
    <mergeCell ref="A1005:H1005"/>
    <mergeCell ref="A1012:C1012"/>
    <mergeCell ref="A894:C894"/>
    <mergeCell ref="A1454:C1454"/>
    <mergeCell ref="A1298:H1298"/>
    <mergeCell ref="A1429:H1429"/>
    <mergeCell ref="A1299:H1299"/>
    <mergeCell ref="A1319:C1319"/>
    <mergeCell ref="A1362:H1362"/>
    <mergeCell ref="A1363:H1363"/>
    <mergeCell ref="A1364:H1364"/>
    <mergeCell ref="A874:H874"/>
    <mergeCell ref="A875:H875"/>
    <mergeCell ref="A876:H876"/>
    <mergeCell ref="A1329:H1329"/>
    <mergeCell ref="A1330:H1330"/>
    <mergeCell ref="A1331:H1331"/>
    <mergeCell ref="A1347:C1347"/>
    <mergeCell ref="A907:H907"/>
    <mergeCell ref="A908:H908"/>
    <mergeCell ref="A909:H909"/>
    <mergeCell ref="A930:C930"/>
    <mergeCell ref="A1183:C1183"/>
    <mergeCell ref="A1039:H1039"/>
    <mergeCell ref="A1062:C1062"/>
    <mergeCell ref="A1102:H1102"/>
    <mergeCell ref="A2:H2"/>
    <mergeCell ref="A3:H3"/>
    <mergeCell ref="A4:H4"/>
    <mergeCell ref="A31:C31"/>
    <mergeCell ref="A156:C156"/>
    <mergeCell ref="A35:H35"/>
    <mergeCell ref="A36:H36"/>
    <mergeCell ref="A37:H37"/>
    <mergeCell ref="A57:C57"/>
    <mergeCell ref="A101:H101"/>
    <mergeCell ref="A102:H102"/>
    <mergeCell ref="A103:H103"/>
    <mergeCell ref="A121:C121"/>
    <mergeCell ref="A68:H68"/>
    <mergeCell ref="A69:H69"/>
    <mergeCell ref="A70:H70"/>
    <mergeCell ref="A88:C88"/>
    <mergeCell ref="A133:H133"/>
    <mergeCell ref="A134:H134"/>
    <mergeCell ref="A135:H135"/>
    <mergeCell ref="A424:H424"/>
    <mergeCell ref="A391:H391"/>
    <mergeCell ref="A392:H392"/>
    <mergeCell ref="A393:H393"/>
    <mergeCell ref="A416:C416"/>
    <mergeCell ref="A360:H360"/>
    <mergeCell ref="A380:C380"/>
    <mergeCell ref="A220:C220"/>
    <mergeCell ref="A325:H325"/>
    <mergeCell ref="A423:H423"/>
    <mergeCell ref="A295:H295"/>
    <mergeCell ref="A313:C313"/>
    <mergeCell ref="A334:C334"/>
    <mergeCell ref="A327:H327"/>
    <mergeCell ref="A293:H293"/>
    <mergeCell ref="A422:H422"/>
    <mergeCell ref="A358:H358"/>
    <mergeCell ref="A359:H359"/>
    <mergeCell ref="A232:H232"/>
    <mergeCell ref="A233:H233"/>
    <mergeCell ref="A234:H234"/>
    <mergeCell ref="A278:C278"/>
    <mergeCell ref="A456:H456"/>
    <mergeCell ref="A475:C475"/>
    <mergeCell ref="A508:C508"/>
    <mergeCell ref="A520:H520"/>
    <mergeCell ref="A521:H521"/>
    <mergeCell ref="A442:C442"/>
    <mergeCell ref="A487:H487"/>
    <mergeCell ref="A454:H454"/>
    <mergeCell ref="A455:H455"/>
    <mergeCell ref="A166:H166"/>
    <mergeCell ref="A167:H167"/>
    <mergeCell ref="A168:H168"/>
    <mergeCell ref="A187:C187"/>
    <mergeCell ref="A326:H326"/>
    <mergeCell ref="A294:H294"/>
    <mergeCell ref="A198:H198"/>
    <mergeCell ref="A199:H199"/>
    <mergeCell ref="A200:H200"/>
    <mergeCell ref="A522:H522"/>
    <mergeCell ref="A488:H488"/>
    <mergeCell ref="A489:H489"/>
    <mergeCell ref="A746:C746"/>
    <mergeCell ref="A616:H616"/>
    <mergeCell ref="A842:H842"/>
    <mergeCell ref="A843:H843"/>
    <mergeCell ref="A844:H844"/>
    <mergeCell ref="A870:C870"/>
    <mergeCell ref="A585:H585"/>
    <mergeCell ref="A557:C557"/>
    <mergeCell ref="A586:H586"/>
    <mergeCell ref="A680:H680"/>
    <mergeCell ref="A681:H681"/>
    <mergeCell ref="A682:H682"/>
    <mergeCell ref="A587:H587"/>
    <mergeCell ref="A610:C610"/>
    <mergeCell ref="A645:C645"/>
    <mergeCell ref="A618:H618"/>
    <mergeCell ref="A648:H648"/>
    <mergeCell ref="A649:H649"/>
    <mergeCell ref="A669:C669"/>
    <mergeCell ref="A810:H810"/>
    <mergeCell ref="A811:H811"/>
  </mergeCells>
  <conditionalFormatting sqref="B333:C333">
    <cfRule type="expression" dxfId="1230" priority="897">
      <formula>$J333=9</formula>
    </cfRule>
    <cfRule type="expression" dxfId="1229" priority="898">
      <formula>$J333=7</formula>
    </cfRule>
    <cfRule type="expression" dxfId="1228" priority="899">
      <formula>$J333=6</formula>
    </cfRule>
    <cfRule type="expression" dxfId="1227" priority="900">
      <formula>$J333=5</formula>
    </cfRule>
    <cfRule type="expression" dxfId="1226" priority="901">
      <formula>$J333=4</formula>
    </cfRule>
    <cfRule type="expression" dxfId="1225" priority="902">
      <formula>$J333=3</formula>
    </cfRule>
    <cfRule type="expression" dxfId="1224" priority="903">
      <formula>$J333=2</formula>
    </cfRule>
    <cfRule type="expression" dxfId="1223" priority="904">
      <formula>$J333=1</formula>
    </cfRule>
  </conditionalFormatting>
  <conditionalFormatting sqref="B1051:C1051">
    <cfRule type="expression" dxfId="1222" priority="964">
      <formula>$F1051=5</formula>
    </cfRule>
    <cfRule type="expression" dxfId="1221" priority="965">
      <formula>$F1051=4</formula>
    </cfRule>
    <cfRule type="expression" dxfId="1220" priority="966">
      <formula>$F1051=3</formula>
    </cfRule>
    <cfRule type="expression" dxfId="1219" priority="967">
      <formula>$F1051=2</formula>
    </cfRule>
    <cfRule type="expression" dxfId="1218" priority="968">
      <formula>$F1051=1</formula>
    </cfRule>
  </conditionalFormatting>
  <conditionalFormatting sqref="B1248:C1248">
    <cfRule type="expression" dxfId="1217" priority="489">
      <formula>$J1248=9</formula>
    </cfRule>
    <cfRule type="expression" dxfId="1216" priority="490">
      <formula>$J1248=7</formula>
    </cfRule>
    <cfRule type="expression" dxfId="1215" priority="491">
      <formula>$J1248=6</formula>
    </cfRule>
    <cfRule type="expression" dxfId="1214" priority="492">
      <formula>$J1248=5</formula>
    </cfRule>
    <cfRule type="expression" dxfId="1213" priority="493">
      <formula>$J1248=4</formula>
    </cfRule>
    <cfRule type="expression" dxfId="1212" priority="494">
      <formula>$J1248=3</formula>
    </cfRule>
    <cfRule type="expression" dxfId="1211" priority="495">
      <formula>$J1248=2</formula>
    </cfRule>
    <cfRule type="expression" dxfId="1210" priority="496">
      <formula>$J1248=1</formula>
    </cfRule>
  </conditionalFormatting>
  <conditionalFormatting sqref="B1337:C1346">
    <cfRule type="expression" dxfId="1209" priority="345">
      <formula>$J1337=9</formula>
    </cfRule>
    <cfRule type="expression" dxfId="1208" priority="346">
      <formula>$J1337=7</formula>
    </cfRule>
    <cfRule type="expression" dxfId="1207" priority="347">
      <formula>$J1337=6</formula>
    </cfRule>
  </conditionalFormatting>
  <conditionalFormatting sqref="B1343:C1343">
    <cfRule type="expression" dxfId="1206" priority="350">
      <formula>$J1343=3</formula>
    </cfRule>
    <cfRule type="expression" dxfId="1205" priority="351">
      <formula>$J1343=2</formula>
    </cfRule>
    <cfRule type="expression" dxfId="1204" priority="352">
      <formula>$J1343=1</formula>
    </cfRule>
  </conditionalFormatting>
  <conditionalFormatting sqref="B1343:C1344">
    <cfRule type="expression" dxfId="1203" priority="348">
      <formula>$J1343=5</formula>
    </cfRule>
    <cfRule type="expression" dxfId="1202" priority="349">
      <formula>$J1343=4</formula>
    </cfRule>
  </conditionalFormatting>
  <conditionalFormatting sqref="B1344:C1344">
    <cfRule type="expression" dxfId="1201" priority="414">
      <formula>$J1344=3</formula>
    </cfRule>
    <cfRule type="expression" dxfId="1200" priority="415">
      <formula>$J1344=2</formula>
    </cfRule>
    <cfRule type="expression" dxfId="1199" priority="416">
      <formula>$J1344=1</formula>
    </cfRule>
  </conditionalFormatting>
  <conditionalFormatting sqref="B1346:C1346">
    <cfRule type="expression" dxfId="1198" priority="420">
      <formula>$J1346=5</formula>
    </cfRule>
    <cfRule type="expression" dxfId="1197" priority="421">
      <formula>$J1346=4</formula>
    </cfRule>
    <cfRule type="expression" dxfId="1196" priority="422">
      <formula>$J1346=3</formula>
    </cfRule>
    <cfRule type="expression" dxfId="1195" priority="423">
      <formula>$J1346=2</formula>
    </cfRule>
    <cfRule type="expression" dxfId="1194" priority="424">
      <formula>$J1346=1</formula>
    </cfRule>
  </conditionalFormatting>
  <conditionalFormatting sqref="B301:D312">
    <cfRule type="expression" dxfId="1193" priority="1129">
      <formula>#REF!=9</formula>
    </cfRule>
    <cfRule type="expression" dxfId="1192" priority="1130">
      <formula>#REF!=7</formula>
    </cfRule>
    <cfRule type="expression" dxfId="1191" priority="1131">
      <formula>#REF!=6</formula>
    </cfRule>
    <cfRule type="expression" dxfId="1190" priority="1132">
      <formula>#REF!=5</formula>
    </cfRule>
    <cfRule type="expression" dxfId="1189" priority="1133">
      <formula>#REF!=4</formula>
    </cfRule>
    <cfRule type="expression" dxfId="1188" priority="1134">
      <formula>#REF!=3</formula>
    </cfRule>
    <cfRule type="expression" dxfId="1187" priority="1135">
      <formula>#REF!=2</formula>
    </cfRule>
    <cfRule type="expression" dxfId="1186" priority="1136">
      <formula>#REF!=1</formula>
    </cfRule>
  </conditionalFormatting>
  <conditionalFormatting sqref="B528:D529">
    <cfRule type="expression" dxfId="1185" priority="1249">
      <formula>$J1440=9</formula>
    </cfRule>
    <cfRule type="expression" dxfId="1184" priority="1250">
      <formula>$J1440=7</formula>
    </cfRule>
    <cfRule type="expression" dxfId="1183" priority="1251">
      <formula>$J1440=6</formula>
    </cfRule>
    <cfRule type="expression" dxfId="1182" priority="1252">
      <formula>$J1440=5</formula>
    </cfRule>
    <cfRule type="expression" dxfId="1181" priority="1253">
      <formula>$J1440=4</formula>
    </cfRule>
    <cfRule type="expression" dxfId="1180" priority="1254">
      <formula>$J1440=3</formula>
    </cfRule>
    <cfRule type="expression" dxfId="1179" priority="1255">
      <formula>$J1440=2</formula>
    </cfRule>
    <cfRule type="expression" dxfId="1178" priority="1256">
      <formula>$J1440=1</formula>
    </cfRule>
  </conditionalFormatting>
  <conditionalFormatting sqref="B530:D530">
    <cfRule type="expression" dxfId="1177" priority="1289">
      <formula>#REF!=9</formula>
    </cfRule>
    <cfRule type="expression" dxfId="1176" priority="1290">
      <formula>#REF!=7</formula>
    </cfRule>
    <cfRule type="expression" dxfId="1175" priority="1291">
      <formula>#REF!=6</formula>
    </cfRule>
    <cfRule type="expression" dxfId="1174" priority="1292">
      <formula>#REF!=5</formula>
    </cfRule>
    <cfRule type="expression" dxfId="1173" priority="1293">
      <formula>#REF!=4</formula>
    </cfRule>
    <cfRule type="expression" dxfId="1172" priority="1294">
      <formula>#REF!=3</formula>
    </cfRule>
    <cfRule type="expression" dxfId="1171" priority="1295">
      <formula>#REF!=2</formula>
    </cfRule>
    <cfRule type="expression" dxfId="1170" priority="1296">
      <formula>#REF!=1</formula>
    </cfRule>
  </conditionalFormatting>
  <conditionalFormatting sqref="B531:D532 B543:D545 B554:D554">
    <cfRule type="expression" dxfId="1169" priority="1281">
      <formula>$J1442=9</formula>
    </cfRule>
    <cfRule type="expression" dxfId="1168" priority="1282">
      <formula>$J1442=7</formula>
    </cfRule>
    <cfRule type="expression" dxfId="1167" priority="1283">
      <formula>$J1442=6</formula>
    </cfRule>
    <cfRule type="expression" dxfId="1166" priority="1284">
      <formula>$J1442=5</formula>
    </cfRule>
    <cfRule type="expression" dxfId="1165" priority="1285">
      <formula>$J1442=4</formula>
    </cfRule>
    <cfRule type="expression" dxfId="1164" priority="1286">
      <formula>$J1442=3</formula>
    </cfRule>
    <cfRule type="expression" dxfId="1163" priority="1287">
      <formula>$J1442=2</formula>
    </cfRule>
    <cfRule type="expression" dxfId="1162" priority="1288">
      <formula>$J1442=1</formula>
    </cfRule>
  </conditionalFormatting>
  <conditionalFormatting sqref="B533:D533">
    <cfRule type="expression" dxfId="1161" priority="1329">
      <formula>#REF!=9</formula>
    </cfRule>
    <cfRule type="expression" dxfId="1160" priority="1330">
      <formula>#REF!=7</formula>
    </cfRule>
    <cfRule type="expression" dxfId="1159" priority="1331">
      <formula>#REF!=6</formula>
    </cfRule>
    <cfRule type="expression" dxfId="1158" priority="1332">
      <formula>#REF!=5</formula>
    </cfRule>
    <cfRule type="expression" dxfId="1157" priority="1333">
      <formula>#REF!=4</formula>
    </cfRule>
    <cfRule type="expression" dxfId="1156" priority="1334">
      <formula>#REF!=3</formula>
    </cfRule>
    <cfRule type="expression" dxfId="1155" priority="1335">
      <formula>#REF!=2</formula>
    </cfRule>
    <cfRule type="expression" dxfId="1154" priority="1336">
      <formula>#REF!=1</formula>
    </cfRule>
  </conditionalFormatting>
  <conditionalFormatting sqref="B534:D535 B556:D556">
    <cfRule type="expression" dxfId="1153" priority="1321">
      <formula>$J1444=9</formula>
    </cfRule>
    <cfRule type="expression" dxfId="1152" priority="1322">
      <formula>$J1444=7</formula>
    </cfRule>
    <cfRule type="expression" dxfId="1151" priority="1323">
      <formula>$J1444=6</formula>
    </cfRule>
    <cfRule type="expression" dxfId="1150" priority="1324">
      <formula>$J1444=5</formula>
    </cfRule>
    <cfRule type="expression" dxfId="1149" priority="1325">
      <formula>$J1444=4</formula>
    </cfRule>
    <cfRule type="expression" dxfId="1148" priority="1326">
      <formula>$J1444=3</formula>
    </cfRule>
    <cfRule type="expression" dxfId="1147" priority="1327">
      <formula>$J1444=2</formula>
    </cfRule>
    <cfRule type="expression" dxfId="1146" priority="1328">
      <formula>$J1444=1</formula>
    </cfRule>
  </conditionalFormatting>
  <conditionalFormatting sqref="B536:D536">
    <cfRule type="expression" dxfId="1145" priority="1369">
      <formula>#REF!=9</formula>
    </cfRule>
    <cfRule type="expression" dxfId="1144" priority="1370">
      <formula>#REF!=7</formula>
    </cfRule>
    <cfRule type="expression" dxfId="1143" priority="1371">
      <formula>#REF!=6</formula>
    </cfRule>
    <cfRule type="expression" dxfId="1142" priority="1372">
      <formula>#REF!=5</formula>
    </cfRule>
    <cfRule type="expression" dxfId="1141" priority="1373">
      <formula>#REF!=4</formula>
    </cfRule>
    <cfRule type="expression" dxfId="1140" priority="1374">
      <formula>#REF!=3</formula>
    </cfRule>
    <cfRule type="expression" dxfId="1139" priority="1375">
      <formula>#REF!=2</formula>
    </cfRule>
    <cfRule type="expression" dxfId="1138" priority="1376">
      <formula>#REF!=1</formula>
    </cfRule>
  </conditionalFormatting>
  <conditionalFormatting sqref="B537:D542">
    <cfRule type="expression" dxfId="1137" priority="1361">
      <formula>$J1446=9</formula>
    </cfRule>
    <cfRule type="expression" dxfId="1136" priority="1362">
      <formula>$J1446=7</formula>
    </cfRule>
    <cfRule type="expression" dxfId="1135" priority="1363">
      <formula>$J1446=6</formula>
    </cfRule>
    <cfRule type="expression" dxfId="1134" priority="1364">
      <formula>$J1446=5</formula>
    </cfRule>
    <cfRule type="expression" dxfId="1133" priority="1365">
      <formula>$J1446=4</formula>
    </cfRule>
    <cfRule type="expression" dxfId="1132" priority="1366">
      <formula>$J1446=3</formula>
    </cfRule>
    <cfRule type="expression" dxfId="1131" priority="1367">
      <formula>$J1446=2</formula>
    </cfRule>
    <cfRule type="expression" dxfId="1130" priority="1368">
      <formula>$J1446=1</formula>
    </cfRule>
  </conditionalFormatting>
  <conditionalFormatting sqref="B546:D549">
    <cfRule type="expression" dxfId="1129" priority="1465">
      <formula>$J1459=9</formula>
    </cfRule>
    <cfRule type="expression" dxfId="1128" priority="1466">
      <formula>$J1459=7</formula>
    </cfRule>
    <cfRule type="expression" dxfId="1127" priority="1467">
      <formula>$J1459=6</formula>
    </cfRule>
    <cfRule type="expression" dxfId="1126" priority="1468">
      <formula>$J1459=5</formula>
    </cfRule>
    <cfRule type="expression" dxfId="1125" priority="1469">
      <formula>$J1459=4</formula>
    </cfRule>
    <cfRule type="expression" dxfId="1124" priority="1470">
      <formula>$J1459=3</formula>
    </cfRule>
    <cfRule type="expression" dxfId="1123" priority="1471">
      <formula>$J1459=2</formula>
    </cfRule>
    <cfRule type="expression" dxfId="1122" priority="1472">
      <formula>$J1459=1</formula>
    </cfRule>
  </conditionalFormatting>
  <conditionalFormatting sqref="B551:D552">
    <cfRule type="expression" dxfId="1121" priority="1137">
      <formula>$J1463=9</formula>
    </cfRule>
    <cfRule type="expression" dxfId="1120" priority="1138">
      <formula>$J1463=7</formula>
    </cfRule>
    <cfRule type="expression" dxfId="1119" priority="1139">
      <formula>$J1463=6</formula>
    </cfRule>
    <cfRule type="expression" dxfId="1118" priority="1140">
      <formula>$J1463=5</formula>
    </cfRule>
    <cfRule type="expression" dxfId="1117" priority="1141">
      <formula>$J1463=4</formula>
    </cfRule>
    <cfRule type="expression" dxfId="1116" priority="1142">
      <formula>$J1463=3</formula>
    </cfRule>
    <cfRule type="expression" dxfId="1115" priority="1143">
      <formula>$J1463=2</formula>
    </cfRule>
    <cfRule type="expression" dxfId="1114" priority="1144">
      <formula>$J1463=1</formula>
    </cfRule>
  </conditionalFormatting>
  <conditionalFormatting sqref="B553:D553">
    <cfRule type="expression" dxfId="1113" priority="1489">
      <formula>#REF!=9</formula>
    </cfRule>
    <cfRule type="expression" dxfId="1112" priority="1490">
      <formula>#REF!=7</formula>
    </cfRule>
    <cfRule type="expression" dxfId="1111" priority="1491">
      <formula>#REF!=6</formula>
    </cfRule>
    <cfRule type="expression" dxfId="1110" priority="1492">
      <formula>#REF!=5</formula>
    </cfRule>
    <cfRule type="expression" dxfId="1109" priority="1493">
      <formula>#REF!=4</formula>
    </cfRule>
    <cfRule type="expression" dxfId="1108" priority="1494">
      <formula>#REF!=3</formula>
    </cfRule>
    <cfRule type="expression" dxfId="1107" priority="1495">
      <formula>#REF!=2</formula>
    </cfRule>
    <cfRule type="expression" dxfId="1106" priority="1496">
      <formula>#REF!=1</formula>
    </cfRule>
  </conditionalFormatting>
  <conditionalFormatting sqref="B555:D555">
    <cfRule type="expression" dxfId="1105" priority="1529">
      <formula>#REF!=9</formula>
    </cfRule>
    <cfRule type="expression" dxfId="1104" priority="1530">
      <formula>#REF!=7</formula>
    </cfRule>
    <cfRule type="expression" dxfId="1103" priority="1531">
      <formula>#REF!=6</formula>
    </cfRule>
    <cfRule type="expression" dxfId="1102" priority="1532">
      <formula>#REF!=5</formula>
    </cfRule>
    <cfRule type="expression" dxfId="1101" priority="1533">
      <formula>#REF!=4</formula>
    </cfRule>
    <cfRule type="expression" dxfId="1100" priority="1534">
      <formula>#REF!=3</formula>
    </cfRule>
    <cfRule type="expression" dxfId="1099" priority="1535">
      <formula>#REF!=2</formula>
    </cfRule>
    <cfRule type="expression" dxfId="1098" priority="1536">
      <formula>#REF!=1</formula>
    </cfRule>
  </conditionalFormatting>
  <conditionalFormatting sqref="B721:D740 B743:D745">
    <cfRule type="expression" dxfId="1097" priority="1845">
      <formula>#REF!=4</formula>
    </cfRule>
    <cfRule type="expression" dxfId="1096" priority="1846">
      <formula>#REF!=3</formula>
    </cfRule>
    <cfRule type="expression" dxfId="1095" priority="1847">
      <formula>#REF!=2</formula>
    </cfRule>
    <cfRule type="expression" dxfId="1094" priority="1848">
      <formula>#REF!=1</formula>
    </cfRule>
  </conditionalFormatting>
  <conditionalFormatting sqref="B721:D741">
    <cfRule type="expression" dxfId="1093" priority="1809">
      <formula>#REF!=9</formula>
    </cfRule>
    <cfRule type="expression" dxfId="1092" priority="1810">
      <formula>#REF!=7</formula>
    </cfRule>
    <cfRule type="expression" dxfId="1091" priority="1811">
      <formula>#REF!=6</formula>
    </cfRule>
    <cfRule type="expression" dxfId="1090" priority="1812">
      <formula>#REF!=5</formula>
    </cfRule>
  </conditionalFormatting>
  <conditionalFormatting sqref="B741:D741">
    <cfRule type="expression" dxfId="1089" priority="1813">
      <formula>#REF!=4</formula>
    </cfRule>
    <cfRule type="expression" dxfId="1088" priority="1814">
      <formula>#REF!=3</formula>
    </cfRule>
    <cfRule type="expression" dxfId="1087" priority="1815">
      <formula>#REF!=2</formula>
    </cfRule>
    <cfRule type="expression" dxfId="1086" priority="1816">
      <formula>#REF!=1</formula>
    </cfRule>
  </conditionalFormatting>
  <conditionalFormatting sqref="B743:D745">
    <cfRule type="expression" dxfId="1085" priority="1841">
      <formula>#REF!=9</formula>
    </cfRule>
    <cfRule type="expression" dxfId="1084" priority="1842">
      <formula>#REF!=7</formula>
    </cfRule>
    <cfRule type="expression" dxfId="1083" priority="1843">
      <formula>#REF!=6</formula>
    </cfRule>
    <cfRule type="expression" dxfId="1082" priority="1844">
      <formula>#REF!=5</formula>
    </cfRule>
  </conditionalFormatting>
  <conditionalFormatting sqref="B817:D821">
    <cfRule type="expression" dxfId="1081" priority="1801">
      <formula>#REF!=9</formula>
    </cfRule>
    <cfRule type="expression" dxfId="1080" priority="1802">
      <formula>#REF!=7</formula>
    </cfRule>
    <cfRule type="expression" dxfId="1079" priority="1803">
      <formula>#REF!=6</formula>
    </cfRule>
    <cfRule type="expression" dxfId="1078" priority="1804">
      <formula>#REF!=5</formula>
    </cfRule>
    <cfRule type="expression" dxfId="1077" priority="1805">
      <formula>#REF!=4</formula>
    </cfRule>
    <cfRule type="expression" dxfId="1076" priority="1806">
      <formula>#REF!=3</formula>
    </cfRule>
    <cfRule type="expression" dxfId="1075" priority="1807">
      <formula>#REF!=2</formula>
    </cfRule>
    <cfRule type="expression" dxfId="1074" priority="1808">
      <formula>#REF!=1</formula>
    </cfRule>
  </conditionalFormatting>
  <conditionalFormatting sqref="B850:D869">
    <cfRule type="expression" dxfId="1073" priority="1457">
      <formula>#REF!=9</formula>
    </cfRule>
    <cfRule type="expression" dxfId="1072" priority="1458">
      <formula>#REF!=7</formula>
    </cfRule>
    <cfRule type="expression" dxfId="1071" priority="1459">
      <formula>#REF!=6</formula>
    </cfRule>
    <cfRule type="expression" dxfId="1070" priority="1460">
      <formula>#REF!=5</formula>
    </cfRule>
    <cfRule type="expression" dxfId="1069" priority="1461">
      <formula>#REF!=4</formula>
    </cfRule>
    <cfRule type="expression" dxfId="1068" priority="1462">
      <formula>#REF!=3</formula>
    </cfRule>
    <cfRule type="expression" dxfId="1067" priority="1463">
      <formula>#REF!=2</formula>
    </cfRule>
    <cfRule type="expression" dxfId="1066" priority="1464">
      <formula>#REF!=1</formula>
    </cfRule>
  </conditionalFormatting>
  <conditionalFormatting sqref="B929:D929">
    <cfRule type="expression" dxfId="1065" priority="245">
      <formula>$F929=4</formula>
    </cfRule>
    <cfRule type="expression" dxfId="1064" priority="246">
      <formula>$F929=3</formula>
    </cfRule>
    <cfRule type="expression" dxfId="1063" priority="247">
      <formula>$F929=2</formula>
    </cfRule>
    <cfRule type="expression" dxfId="1062" priority="248">
      <formula>$F929=1</formula>
    </cfRule>
  </conditionalFormatting>
  <conditionalFormatting sqref="B1011:D1011">
    <cfRule type="expression" dxfId="1061" priority="129">
      <formula>$J1011=9</formula>
    </cfRule>
    <cfRule type="expression" dxfId="1060" priority="130">
      <formula>$J1011=7</formula>
    </cfRule>
    <cfRule type="expression" dxfId="1059" priority="131">
      <formula>$J1011=6</formula>
    </cfRule>
    <cfRule type="expression" dxfId="1058" priority="132">
      <formula>$J1011=5</formula>
    </cfRule>
    <cfRule type="expression" dxfId="1057" priority="133">
      <formula>$J1011=4</formula>
    </cfRule>
    <cfRule type="expression" dxfId="1056" priority="134">
      <formula>$J1011=3</formula>
    </cfRule>
    <cfRule type="expression" dxfId="1055" priority="135">
      <formula>$J1011=2</formula>
    </cfRule>
    <cfRule type="expression" dxfId="1054" priority="136">
      <formula>$J1011=1</formula>
    </cfRule>
  </conditionalFormatting>
  <conditionalFormatting sqref="B1045:D1061">
    <cfRule type="expression" dxfId="1053" priority="961">
      <formula>$F1045=9</formula>
    </cfRule>
    <cfRule type="expression" dxfId="1052" priority="962">
      <formula>$F1045=7</formula>
    </cfRule>
    <cfRule type="expression" dxfId="1051" priority="963">
      <formula>$F1045=6</formula>
    </cfRule>
  </conditionalFormatting>
  <conditionalFormatting sqref="B1110:D1118">
    <cfRule type="expression" dxfId="1050" priority="1753">
      <formula>$J1465=9</formula>
    </cfRule>
    <cfRule type="expression" dxfId="1049" priority="1754">
      <formula>$J1465=7</formula>
    </cfRule>
    <cfRule type="expression" dxfId="1048" priority="1755">
      <formula>$J1465=6</formula>
    </cfRule>
    <cfRule type="expression" dxfId="1047" priority="1756">
      <formula>$J1465=5</formula>
    </cfRule>
    <cfRule type="expression" dxfId="1046" priority="1757">
      <formula>$J1465=4</formula>
    </cfRule>
    <cfRule type="expression" dxfId="1045" priority="1758">
      <formula>$J1465=3</formula>
    </cfRule>
    <cfRule type="expression" dxfId="1044" priority="1759">
      <formula>$J1465=2</formula>
    </cfRule>
    <cfRule type="expression" dxfId="1043" priority="1760">
      <formula>$J1465=1</formula>
    </cfRule>
  </conditionalFormatting>
  <conditionalFormatting sqref="B1175:D1175">
    <cfRule type="expression" dxfId="1042" priority="1377">
      <formula>$J1466=9</formula>
    </cfRule>
    <cfRule type="expression" dxfId="1041" priority="1378">
      <formula>$J1466=7</formula>
    </cfRule>
    <cfRule type="expression" dxfId="1040" priority="1379">
      <formula>$J1466=6</formula>
    </cfRule>
    <cfRule type="expression" dxfId="1039" priority="1380">
      <formula>$J1466=5</formula>
    </cfRule>
    <cfRule type="expression" dxfId="1038" priority="1381">
      <formula>$J1466=4</formula>
    </cfRule>
    <cfRule type="expression" dxfId="1037" priority="1382">
      <formula>$J1466=3</formula>
    </cfRule>
    <cfRule type="expression" dxfId="1036" priority="1383">
      <formula>$J1466=2</formula>
    </cfRule>
    <cfRule type="expression" dxfId="1035" priority="1384">
      <formula>$J1466=1</formula>
    </cfRule>
  </conditionalFormatting>
  <conditionalFormatting sqref="B1180:D1180 F1180 E1180:E1181">
    <cfRule type="expression" dxfId="1034" priority="1569">
      <formula>$J1470=9</formula>
    </cfRule>
    <cfRule type="expression" dxfId="1033" priority="1570">
      <formula>$J1470=7</formula>
    </cfRule>
    <cfRule type="expression" dxfId="1032" priority="1571">
      <formula>$J1470=6</formula>
    </cfRule>
    <cfRule type="expression" dxfId="1031" priority="1572">
      <formula>$J1470=5</formula>
    </cfRule>
    <cfRule type="expression" dxfId="1030" priority="1573">
      <formula>$J1470=4</formula>
    </cfRule>
    <cfRule type="expression" dxfId="1029" priority="1574">
      <formula>$J1470=3</formula>
    </cfRule>
    <cfRule type="expression" dxfId="1028" priority="1575">
      <formula>$J1470=2</formula>
    </cfRule>
    <cfRule type="expression" dxfId="1027" priority="1576">
      <formula>$J1470=1</formula>
    </cfRule>
  </conditionalFormatting>
  <conditionalFormatting sqref="B1305:D1305 B1307:D1307 B1310:D1310 B1313:D1313">
    <cfRule type="expression" dxfId="1026" priority="1161">
      <formula>#REF!=9</formula>
    </cfRule>
    <cfRule type="expression" dxfId="1025" priority="1162">
      <formula>#REF!=7</formula>
    </cfRule>
    <cfRule type="expression" dxfId="1024" priority="1163">
      <formula>#REF!=6</formula>
    </cfRule>
    <cfRule type="expression" dxfId="1023" priority="1164">
      <formula>#REF!=5</formula>
    </cfRule>
    <cfRule type="expression" dxfId="1022" priority="1165">
      <formula>#REF!=4</formula>
    </cfRule>
    <cfRule type="expression" dxfId="1021" priority="1166">
      <formula>#REF!=3</formula>
    </cfRule>
    <cfRule type="expression" dxfId="1020" priority="1167">
      <formula>#REF!=2</formula>
    </cfRule>
    <cfRule type="expression" dxfId="1019" priority="1168">
      <formula>#REF!=1</formula>
    </cfRule>
  </conditionalFormatting>
  <conditionalFormatting sqref="B1306:D1306">
    <cfRule type="expression" dxfId="1018" priority="1169">
      <formula>$J1240=9</formula>
    </cfRule>
    <cfRule type="expression" dxfId="1017" priority="1170">
      <formula>$J1240=7</formula>
    </cfRule>
    <cfRule type="expression" dxfId="1016" priority="1171">
      <formula>$J1240=6</formula>
    </cfRule>
    <cfRule type="expression" dxfId="1015" priority="1172">
      <formula>$J1240=5</formula>
    </cfRule>
    <cfRule type="expression" dxfId="1014" priority="1173">
      <formula>$J1240=4</formula>
    </cfRule>
    <cfRule type="expression" dxfId="1013" priority="1174">
      <formula>$J1240=3</formula>
    </cfRule>
    <cfRule type="expression" dxfId="1012" priority="1175">
      <formula>$J1240=2</formula>
    </cfRule>
    <cfRule type="expression" dxfId="1011" priority="1176">
      <formula>$J1240=1</formula>
    </cfRule>
  </conditionalFormatting>
  <conditionalFormatting sqref="B1308:D1309">
    <cfRule type="expression" dxfId="1010" priority="1177">
      <formula>$J1241=9</formula>
    </cfRule>
    <cfRule type="expression" dxfId="1009" priority="1178">
      <formula>$J1241=7</formula>
    </cfRule>
    <cfRule type="expression" dxfId="1008" priority="1179">
      <formula>$J1241=6</formula>
    </cfRule>
    <cfRule type="expression" dxfId="1007" priority="1180">
      <formula>$J1241=5</formula>
    </cfRule>
    <cfRule type="expression" dxfId="1006" priority="1181">
      <formula>$J1241=4</formula>
    </cfRule>
    <cfRule type="expression" dxfId="1005" priority="1182">
      <formula>$J1241=3</formula>
    </cfRule>
    <cfRule type="expression" dxfId="1004" priority="1183">
      <formula>$J1241=2</formula>
    </cfRule>
    <cfRule type="expression" dxfId="1003" priority="1184">
      <formula>$J1241=1</formula>
    </cfRule>
  </conditionalFormatting>
  <conditionalFormatting sqref="B1311:D1312">
    <cfRule type="expression" dxfId="1002" priority="1185">
      <formula>$J1243=9</formula>
    </cfRule>
    <cfRule type="expression" dxfId="1001" priority="1186">
      <formula>$J1243=7</formula>
    </cfRule>
    <cfRule type="expression" dxfId="1000" priority="1187">
      <formula>$J1243=6</formula>
    </cfRule>
    <cfRule type="expression" dxfId="999" priority="1188">
      <formula>$J1243=5</formula>
    </cfRule>
    <cfRule type="expression" dxfId="998" priority="1189">
      <formula>$J1243=4</formula>
    </cfRule>
    <cfRule type="expression" dxfId="997" priority="1190">
      <formula>$J1243=3</formula>
    </cfRule>
    <cfRule type="expression" dxfId="996" priority="1191">
      <formula>$J1243=2</formula>
    </cfRule>
    <cfRule type="expression" dxfId="995" priority="1192">
      <formula>$J1243=1</formula>
    </cfRule>
  </conditionalFormatting>
  <conditionalFormatting sqref="B1314:D1316">
    <cfRule type="expression" dxfId="994" priority="1193">
      <formula>$J1245=9</formula>
    </cfRule>
    <cfRule type="expression" dxfId="993" priority="1194">
      <formula>$J1245=7</formula>
    </cfRule>
    <cfRule type="expression" dxfId="992" priority="1195">
      <formula>$J1245=6</formula>
    </cfRule>
    <cfRule type="expression" dxfId="991" priority="1196">
      <formula>$J1245=5</formula>
    </cfRule>
    <cfRule type="expression" dxfId="990" priority="1197">
      <formula>$J1245=4</formula>
    </cfRule>
    <cfRule type="expression" dxfId="989" priority="1198">
      <formula>$J1245=3</formula>
    </cfRule>
    <cfRule type="expression" dxfId="988" priority="1199">
      <formula>$J1245=2</formula>
    </cfRule>
    <cfRule type="expression" dxfId="987" priority="1200">
      <formula>$J1245=1</formula>
    </cfRule>
  </conditionalFormatting>
  <conditionalFormatting sqref="B1317:D1317">
    <cfRule type="expression" dxfId="986" priority="1209">
      <formula>#REF!=9</formula>
    </cfRule>
    <cfRule type="expression" dxfId="985" priority="1210">
      <formula>#REF!=7</formula>
    </cfRule>
    <cfRule type="expression" dxfId="984" priority="1211">
      <formula>#REF!=6</formula>
    </cfRule>
    <cfRule type="expression" dxfId="983" priority="1212">
      <formula>#REF!=5</formula>
    </cfRule>
    <cfRule type="expression" dxfId="982" priority="1213">
      <formula>#REF!=4</formula>
    </cfRule>
    <cfRule type="expression" dxfId="981" priority="1214">
      <formula>#REF!=3</formula>
    </cfRule>
    <cfRule type="expression" dxfId="980" priority="1215">
      <formula>#REF!=2</formula>
    </cfRule>
    <cfRule type="expression" dxfId="979" priority="1216">
      <formula>#REF!=1</formula>
    </cfRule>
  </conditionalFormatting>
  <conditionalFormatting sqref="B1318:D1318">
    <cfRule type="expression" dxfId="978" priority="1153">
      <formula>$J1249=9</formula>
    </cfRule>
    <cfRule type="expression" dxfId="977" priority="1154">
      <formula>$J1249=7</formula>
    </cfRule>
    <cfRule type="expression" dxfId="976" priority="1155">
      <formula>$J1249=6</formula>
    </cfRule>
    <cfRule type="expression" dxfId="975" priority="1156">
      <formula>$J1249=5</formula>
    </cfRule>
    <cfRule type="expression" dxfId="974" priority="1157">
      <formula>$J1249=4</formula>
    </cfRule>
    <cfRule type="expression" dxfId="973" priority="1158">
      <formula>$J1249=3</formula>
    </cfRule>
    <cfRule type="expression" dxfId="972" priority="1159">
      <formula>$J1249=2</formula>
    </cfRule>
    <cfRule type="expression" dxfId="971" priority="1160">
      <formula>$J1249=1</formula>
    </cfRule>
  </conditionalFormatting>
  <conditionalFormatting sqref="B141:E155">
    <cfRule type="expression" dxfId="970" priority="729">
      <formula>$J141=9</formula>
    </cfRule>
    <cfRule type="expression" dxfId="969" priority="730">
      <formula>$J141=7</formula>
    </cfRule>
    <cfRule type="expression" dxfId="968" priority="731">
      <formula>$J141=6</formula>
    </cfRule>
  </conditionalFormatting>
  <conditionalFormatting sqref="B495:E507">
    <cfRule type="expression" dxfId="967" priority="1033">
      <formula>$J1305=9</formula>
    </cfRule>
    <cfRule type="expression" dxfId="966" priority="1034">
      <formula>$J1305=7</formula>
    </cfRule>
    <cfRule type="expression" dxfId="965" priority="1035">
      <formula>$J1305=6</formula>
    </cfRule>
    <cfRule type="expression" dxfId="964" priority="1036">
      <formula>$J1305=5</formula>
    </cfRule>
    <cfRule type="expression" dxfId="963" priority="1037">
      <formula>$J1305=4</formula>
    </cfRule>
    <cfRule type="expression" dxfId="962" priority="1038">
      <formula>$J1305=3</formula>
    </cfRule>
    <cfRule type="expression" dxfId="961" priority="1039">
      <formula>$J1305=2</formula>
    </cfRule>
    <cfRule type="expression" dxfId="960" priority="1040">
      <formula>$J1305=1</formula>
    </cfRule>
  </conditionalFormatting>
  <conditionalFormatting sqref="B10:F30 B43:F56 B76:D87 B109:D120 B174:D186 B206:D219 B240:D259 B261:D277 B366:D379 B399:D415 B430:D441 B462:D474 B593:D609 D624:D644 B655:D668 B688:D699 B785:D803 B882:D893 B915:D928 B947:D968 B970:D988 B1078:D1097 B1099:D1101 B1142:D1163 B1208:D1221 B1272:D1278 B1370:D1391 B1393:D1398 B1435:D1452 B1453:C1453">
    <cfRule type="expression" dxfId="959" priority="1113">
      <formula>$J10=9</formula>
    </cfRule>
    <cfRule type="expression" dxfId="958" priority="1114">
      <formula>$J10=7</formula>
    </cfRule>
    <cfRule type="expression" dxfId="957" priority="1115">
      <formula>$J10=6</formula>
    </cfRule>
  </conditionalFormatting>
  <conditionalFormatting sqref="B10:F30 B43:F56 B76:D87 B109:D120 E141:E149 B141:D155 E152:E155 B174:D186 B206:D219 B240:D259 B261:D277 B366:D379 B399:D415 B430:D441 B462:D474 B593:D609 D624:D644 B655:D668 B688:D699 B785:D803 B882:D893 B915:D928 B947:D968 B970:D988 B1078:D1097 B1099:D1101 B1142:D1163 B1208:D1221 B1272:D1278 B1337:C1342 B1345:C1345 B1370:D1391 B1393:D1398 B1435:D1452 B1453:C1453">
    <cfRule type="expression" dxfId="956" priority="1116">
      <formula>$J10=5</formula>
    </cfRule>
    <cfRule type="expression" dxfId="955" priority="1117">
      <formula>$J10=4</formula>
    </cfRule>
    <cfRule type="expression" dxfId="954" priority="1118">
      <formula>$J10=3</formula>
    </cfRule>
    <cfRule type="expression" dxfId="953" priority="1119">
      <formula>$J10=2</formula>
    </cfRule>
    <cfRule type="expression" dxfId="952" priority="1120">
      <formula>$J10=1</formula>
    </cfRule>
  </conditionalFormatting>
  <conditionalFormatting sqref="B929:F929">
    <cfRule type="expression" dxfId="951" priority="225">
      <formula>$F929=9</formula>
    </cfRule>
    <cfRule type="expression" dxfId="950" priority="226">
      <formula>$F929=7</formula>
    </cfRule>
    <cfRule type="expression" dxfId="949" priority="227">
      <formula>$F929=6</formula>
    </cfRule>
    <cfRule type="expression" dxfId="948" priority="228">
      <formula>$F929=5</formula>
    </cfRule>
  </conditionalFormatting>
  <conditionalFormatting sqref="B1176:F1176">
    <cfRule type="expression" dxfId="947" priority="1593">
      <formula>#REF!=9</formula>
    </cfRule>
    <cfRule type="expression" dxfId="946" priority="1594">
      <formula>#REF!=7</formula>
    </cfRule>
    <cfRule type="expression" dxfId="945" priority="1595">
      <formula>#REF!=6</formula>
    </cfRule>
    <cfRule type="expression" dxfId="944" priority="1596">
      <formula>#REF!=5</formula>
    </cfRule>
    <cfRule type="expression" dxfId="943" priority="1597">
      <formula>#REF!=4</formula>
    </cfRule>
    <cfRule type="expression" dxfId="942" priority="1598">
      <formula>#REF!=3</formula>
    </cfRule>
    <cfRule type="expression" dxfId="941" priority="1599">
      <formula>#REF!=2</formula>
    </cfRule>
    <cfRule type="expression" dxfId="940" priority="1600">
      <formula>#REF!=1</formula>
    </cfRule>
  </conditionalFormatting>
  <conditionalFormatting sqref="B1179:F1179 B1181:D1181 F1181">
    <cfRule type="expression" dxfId="939" priority="1577">
      <formula>#REF!=9</formula>
    </cfRule>
    <cfRule type="expression" dxfId="938" priority="1578">
      <formula>#REF!=7</formula>
    </cfRule>
    <cfRule type="expression" dxfId="937" priority="1579">
      <formula>#REF!=6</formula>
    </cfRule>
    <cfRule type="expression" dxfId="936" priority="1580">
      <formula>#REF!=5</formula>
    </cfRule>
    <cfRule type="expression" dxfId="935" priority="1581">
      <formula>#REF!=4</formula>
    </cfRule>
    <cfRule type="expression" dxfId="934" priority="1582">
      <formula>#REF!=3</formula>
    </cfRule>
    <cfRule type="expression" dxfId="933" priority="1583">
      <formula>#REF!=2</formula>
    </cfRule>
    <cfRule type="expression" dxfId="932" priority="1584">
      <formula>#REF!=1</formula>
    </cfRule>
  </conditionalFormatting>
  <conditionalFormatting sqref="E150:E151">
    <cfRule type="expression" dxfId="931" priority="732">
      <formula>$J150=5</formula>
    </cfRule>
    <cfRule type="expression" dxfId="930" priority="733">
      <formula>$J150=4</formula>
    </cfRule>
    <cfRule type="expression" dxfId="929" priority="734">
      <formula>$J150=3</formula>
    </cfRule>
    <cfRule type="expression" dxfId="928" priority="735">
      <formula>$J150=2</formula>
    </cfRule>
    <cfRule type="expression" dxfId="927" priority="736">
      <formula>$J150=1</formula>
    </cfRule>
  </conditionalFormatting>
  <conditionalFormatting sqref="E333">
    <cfRule type="expression" dxfId="926" priority="769">
      <formula>$J1239=9</formula>
    </cfRule>
    <cfRule type="expression" dxfId="925" priority="770">
      <formula>$J1239=7</formula>
    </cfRule>
    <cfRule type="expression" dxfId="924" priority="771">
      <formula>$J1239=6</formula>
    </cfRule>
    <cfRule type="expression" dxfId="923" priority="772">
      <formula>$J1239=5</formula>
    </cfRule>
    <cfRule type="expression" dxfId="922" priority="773">
      <formula>$J1239=4</formula>
    </cfRule>
    <cfRule type="expression" dxfId="921" priority="774">
      <formula>$J1239=3</formula>
    </cfRule>
    <cfRule type="expression" dxfId="920" priority="775">
      <formula>$J1239=2</formula>
    </cfRule>
    <cfRule type="expression" dxfId="919" priority="776">
      <formula>$J1239=1</formula>
    </cfRule>
  </conditionalFormatting>
  <conditionalFormatting sqref="E929">
    <cfRule type="expression" dxfId="918" priority="238">
      <formula>$F929=3</formula>
    </cfRule>
    <cfRule type="expression" dxfId="917" priority="239">
      <formula>$F929=2</formula>
    </cfRule>
    <cfRule type="expression" dxfId="916" priority="240">
      <formula>$F929=1</formula>
    </cfRule>
  </conditionalFormatting>
  <conditionalFormatting sqref="E1045:E1060">
    <cfRule type="expression" dxfId="915" priority="857">
      <formula>$F1045=9</formula>
    </cfRule>
    <cfRule type="expression" dxfId="914" priority="858">
      <formula>$F1045=7</formula>
    </cfRule>
    <cfRule type="expression" dxfId="913" priority="859">
      <formula>$F1045=6</formula>
    </cfRule>
    <cfRule type="expression" dxfId="912" priority="860">
      <formula>$F1045=5</formula>
    </cfRule>
    <cfRule type="expression" dxfId="911" priority="861">
      <formula>$F1045=4</formula>
    </cfRule>
    <cfRule type="expression" dxfId="910" priority="862">
      <formula>$F1045=3</formula>
    </cfRule>
    <cfRule type="expression" dxfId="909" priority="863">
      <formula>$F1045=2</formula>
    </cfRule>
    <cfRule type="expression" dxfId="908" priority="864">
      <formula>$F1045=1</formula>
    </cfRule>
  </conditionalFormatting>
  <conditionalFormatting sqref="E1175">
    <cfRule type="expression" dxfId="907" priority="1385">
      <formula>$J1467=9</formula>
    </cfRule>
    <cfRule type="expression" dxfId="906" priority="1386">
      <formula>$J1467=7</formula>
    </cfRule>
    <cfRule type="expression" dxfId="905" priority="1387">
      <formula>$J1467=6</formula>
    </cfRule>
    <cfRule type="expression" dxfId="904" priority="1388">
      <formula>$J1467=5</formula>
    </cfRule>
    <cfRule type="expression" dxfId="903" priority="1389">
      <formula>$J1467=4</formula>
    </cfRule>
    <cfRule type="expression" dxfId="902" priority="1390">
      <formula>$J1467=3</formula>
    </cfRule>
    <cfRule type="expression" dxfId="901" priority="1391">
      <formula>$J1467=2</formula>
    </cfRule>
    <cfRule type="expression" dxfId="900" priority="1392">
      <formula>$J1467=1</formula>
    </cfRule>
  </conditionalFormatting>
  <conditionalFormatting sqref="E1182">
    <cfRule type="expression" dxfId="899" priority="1745">
      <formula>#REF!=9</formula>
    </cfRule>
    <cfRule type="expression" dxfId="898" priority="1746">
      <formula>#REF!=7</formula>
    </cfRule>
    <cfRule type="expression" dxfId="897" priority="1747">
      <formula>#REF!=6</formula>
    </cfRule>
    <cfRule type="expression" dxfId="896" priority="1748">
      <formula>#REF!=5</formula>
    </cfRule>
    <cfRule type="expression" dxfId="895" priority="1749">
      <formula>#REF!=4</formula>
    </cfRule>
    <cfRule type="expression" dxfId="894" priority="1750">
      <formula>#REF!=3</formula>
    </cfRule>
    <cfRule type="expression" dxfId="893" priority="1751">
      <formula>#REF!=2</formula>
    </cfRule>
    <cfRule type="expression" dxfId="892" priority="1752">
      <formula>#REF!=1</formula>
    </cfRule>
  </conditionalFormatting>
  <conditionalFormatting sqref="E1240:E1254">
    <cfRule type="expression" dxfId="891" priority="801">
      <formula>$F1240=9</formula>
    </cfRule>
    <cfRule type="expression" dxfId="890" priority="802">
      <formula>$F1240=7</formula>
    </cfRule>
    <cfRule type="expression" dxfId="889" priority="803">
      <formula>$F1240=6</formula>
    </cfRule>
    <cfRule type="expression" dxfId="888" priority="804">
      <formula>$F1240=5</formula>
    </cfRule>
    <cfRule type="expression" dxfId="887" priority="805">
      <formula>$F1240=4</formula>
    </cfRule>
    <cfRule type="expression" dxfId="886" priority="806">
      <formula>$F1240=3</formula>
    </cfRule>
    <cfRule type="expression" dxfId="885" priority="807">
      <formula>$F1240=2</formula>
    </cfRule>
    <cfRule type="expression" dxfId="884" priority="808">
      <formula>$F1240=1</formula>
    </cfRule>
  </conditionalFormatting>
  <conditionalFormatting sqref="E301:F309 E310:E312">
    <cfRule type="expression" dxfId="883" priority="753">
      <formula>$J1046=9</formula>
    </cfRule>
    <cfRule type="expression" dxfId="882" priority="754">
      <formula>$J1046=7</formula>
    </cfRule>
    <cfRule type="expression" dxfId="881" priority="755">
      <formula>$J1046=6</formula>
    </cfRule>
    <cfRule type="expression" dxfId="880" priority="756">
      <formula>$J1046=5</formula>
    </cfRule>
    <cfRule type="expression" dxfId="879" priority="757">
      <formula>$J1046=4</formula>
    </cfRule>
    <cfRule type="expression" dxfId="878" priority="758">
      <formula>$J1046=3</formula>
    </cfRule>
    <cfRule type="expression" dxfId="877" priority="759">
      <formula>$J1046=2</formula>
    </cfRule>
    <cfRule type="expression" dxfId="876" priority="760">
      <formula>$J1046=1</formula>
    </cfRule>
  </conditionalFormatting>
  <conditionalFormatting sqref="E366:F379">
    <cfRule type="expression" dxfId="875" priority="2257">
      <formula>$J1304=9</formula>
    </cfRule>
    <cfRule type="expression" dxfId="874" priority="2258">
      <formula>$J1304=7</formula>
    </cfRule>
    <cfRule type="expression" dxfId="873" priority="2259">
      <formula>$J1304=6</formula>
    </cfRule>
    <cfRule type="expression" dxfId="872" priority="2260">
      <formula>$J1304=5</formula>
    </cfRule>
    <cfRule type="expression" dxfId="871" priority="2261">
      <formula>$J1304=4</formula>
    </cfRule>
    <cfRule type="expression" dxfId="870" priority="2262">
      <formula>$J1304=3</formula>
    </cfRule>
    <cfRule type="expression" dxfId="869" priority="2263">
      <formula>$J1304=2</formula>
    </cfRule>
    <cfRule type="expression" dxfId="868" priority="2264">
      <formula>$J1304=1</formula>
    </cfRule>
  </conditionalFormatting>
  <conditionalFormatting sqref="E915:F928 B1045:D1050 D1051 B1052:D1061 E1061:F1061 E1078:F1091 E1092:E1097 B1240:D1247 D1248 B1249:D1254">
    <cfRule type="expression" dxfId="867" priority="1004">
      <formula>$F915=5</formula>
    </cfRule>
    <cfRule type="expression" dxfId="866" priority="1005">
      <formula>$F915=4</formula>
    </cfRule>
    <cfRule type="expression" dxfId="865" priority="1006">
      <formula>$F915=3</formula>
    </cfRule>
    <cfRule type="expression" dxfId="864" priority="1007">
      <formula>$F915=2</formula>
    </cfRule>
    <cfRule type="expression" dxfId="863" priority="1008">
      <formula>$F915=1</formula>
    </cfRule>
  </conditionalFormatting>
  <conditionalFormatting sqref="E915:F928 E1061:F1061 E1078:F1091 E1092:E1097 B1240:D1247 D1248 B1249:D1254">
    <cfRule type="expression" dxfId="862" priority="1001">
      <formula>$F915=9</formula>
    </cfRule>
    <cfRule type="expression" dxfId="861" priority="1002">
      <formula>$F915=7</formula>
    </cfRule>
    <cfRule type="expression" dxfId="860" priority="1003">
      <formula>$F915=6</formula>
    </cfRule>
  </conditionalFormatting>
  <conditionalFormatting sqref="E929:F929">
    <cfRule type="expression" dxfId="859" priority="229">
      <formula>$F929=4</formula>
    </cfRule>
  </conditionalFormatting>
  <conditionalFormatting sqref="F142:F154">
    <cfRule type="expression" dxfId="858" priority="721">
      <formula>$J142=9</formula>
    </cfRule>
    <cfRule type="expression" dxfId="857" priority="722">
      <formula>$J142=7</formula>
    </cfRule>
    <cfRule type="expression" dxfId="856" priority="723">
      <formula>$J142=6</formula>
    </cfRule>
    <cfRule type="expression" dxfId="855" priority="724">
      <formula>$J142=5</formula>
    </cfRule>
    <cfRule type="expression" dxfId="854" priority="725">
      <formula>$J142=4</formula>
    </cfRule>
    <cfRule type="expression" dxfId="853" priority="726">
      <formula>$J142=3</formula>
    </cfRule>
    <cfRule type="expression" dxfId="852" priority="727">
      <formula>$J142=2</formula>
    </cfRule>
    <cfRule type="expression" dxfId="851" priority="728">
      <formula>$J142=1</formula>
    </cfRule>
  </conditionalFormatting>
  <conditionalFormatting sqref="F311:F312">
    <cfRule type="expression" dxfId="850" priority="745">
      <formula>$J1056=9</formula>
    </cfRule>
    <cfRule type="expression" dxfId="849" priority="746">
      <formula>$J1056=7</formula>
    </cfRule>
    <cfRule type="expression" dxfId="848" priority="747">
      <formula>$J1056=6</formula>
    </cfRule>
    <cfRule type="expression" dxfId="847" priority="748">
      <formula>$J1056=5</formula>
    </cfRule>
    <cfRule type="expression" dxfId="846" priority="749">
      <formula>$J1056=4</formula>
    </cfRule>
    <cfRule type="expression" dxfId="845" priority="750">
      <formula>$J1056=3</formula>
    </cfRule>
    <cfRule type="expression" dxfId="844" priority="751">
      <formula>$J1056=2</formula>
    </cfRule>
    <cfRule type="expression" dxfId="843" priority="752">
      <formula>$J1056=1</formula>
    </cfRule>
  </conditionalFormatting>
  <conditionalFormatting sqref="F929">
    <cfRule type="expression" dxfId="842" priority="230">
      <formula>$F929=3</formula>
    </cfRule>
    <cfRule type="expression" dxfId="841" priority="231">
      <formula>$F929=2</formula>
    </cfRule>
    <cfRule type="expression" dxfId="840" priority="232">
      <formula>$F929=1</formula>
    </cfRule>
  </conditionalFormatting>
  <conditionalFormatting sqref="F1045:F1049">
    <cfRule type="expression" dxfId="839" priority="841">
      <formula>$F1045=9</formula>
    </cfRule>
    <cfRule type="expression" dxfId="838" priority="842">
      <formula>$F1045=7</formula>
    </cfRule>
    <cfRule type="expression" dxfId="837" priority="843">
      <formula>$F1045=6</formula>
    </cfRule>
    <cfRule type="expression" dxfId="836" priority="844">
      <formula>$F1045=5</formula>
    </cfRule>
    <cfRule type="expression" dxfId="835" priority="845">
      <formula>$F1045=4</formula>
    </cfRule>
    <cfRule type="expression" dxfId="834" priority="846">
      <formula>$F1045=3</formula>
    </cfRule>
    <cfRule type="expression" dxfId="833" priority="847">
      <formula>$F1045=2</formula>
    </cfRule>
    <cfRule type="expression" dxfId="832" priority="848">
      <formula>$F1045=1</formula>
    </cfRule>
  </conditionalFormatting>
  <conditionalFormatting sqref="F1053">
    <cfRule type="expression" dxfId="831" priority="833">
      <formula>$F1053=9</formula>
    </cfRule>
    <cfRule type="expression" dxfId="830" priority="834">
      <formula>$F1053=7</formula>
    </cfRule>
    <cfRule type="expression" dxfId="829" priority="835">
      <formula>$F1053=6</formula>
    </cfRule>
    <cfRule type="expression" dxfId="828" priority="836">
      <formula>$F1053=5</formula>
    </cfRule>
    <cfRule type="expression" dxfId="827" priority="837">
      <formula>$F1053=4</formula>
    </cfRule>
    <cfRule type="expression" dxfId="826" priority="838">
      <formula>$F1053=3</formula>
    </cfRule>
    <cfRule type="expression" dxfId="825" priority="839">
      <formula>$F1053=2</formula>
    </cfRule>
    <cfRule type="expression" dxfId="824" priority="840">
      <formula>$F1053=1</formula>
    </cfRule>
  </conditionalFormatting>
  <conditionalFormatting sqref="F1055:F1056">
    <cfRule type="expression" dxfId="823" priority="825">
      <formula>$F1055=9</formula>
    </cfRule>
    <cfRule type="expression" dxfId="822" priority="826">
      <formula>$F1055=7</formula>
    </cfRule>
    <cfRule type="expression" dxfId="821" priority="827">
      <formula>$F1055=6</formula>
    </cfRule>
    <cfRule type="expression" dxfId="820" priority="828">
      <formula>$F1055=5</formula>
    </cfRule>
    <cfRule type="expression" dxfId="819" priority="829">
      <formula>$F1055=4</formula>
    </cfRule>
    <cfRule type="expression" dxfId="818" priority="830">
      <formula>$F1055=3</formula>
    </cfRule>
    <cfRule type="expression" dxfId="817" priority="831">
      <formula>$F1055=2</formula>
    </cfRule>
    <cfRule type="expression" dxfId="816" priority="832">
      <formula>$F1055=1</formula>
    </cfRule>
  </conditionalFormatting>
  <conditionalFormatting sqref="F1058:F1060">
    <cfRule type="expression" dxfId="815" priority="817">
      <formula>$F1058=9</formula>
    </cfRule>
    <cfRule type="expression" dxfId="814" priority="818">
      <formula>$F1058=7</formula>
    </cfRule>
    <cfRule type="expression" dxfId="813" priority="819">
      <formula>$F1058=6</formula>
    </cfRule>
    <cfRule type="expression" dxfId="812" priority="820">
      <formula>$F1058=5</formula>
    </cfRule>
    <cfRule type="expression" dxfId="811" priority="821">
      <formula>$F1058=4</formula>
    </cfRule>
    <cfRule type="expression" dxfId="810" priority="822">
      <formula>$F1058=3</formula>
    </cfRule>
    <cfRule type="expression" dxfId="809" priority="823">
      <formula>$F1058=2</formula>
    </cfRule>
    <cfRule type="expression" dxfId="808" priority="824">
      <formula>$F1058=1</formula>
    </cfRule>
  </conditionalFormatting>
  <conditionalFormatting sqref="F1093:F1097">
    <cfRule type="expression" dxfId="807" priority="73">
      <formula>$F1093=9</formula>
    </cfRule>
    <cfRule type="expression" dxfId="806" priority="74">
      <formula>$F1093=7</formula>
    </cfRule>
    <cfRule type="expression" dxfId="805" priority="75">
      <formula>$F1093=6</formula>
    </cfRule>
    <cfRule type="expression" dxfId="804" priority="76">
      <formula>$F1093=5</formula>
    </cfRule>
    <cfRule type="expression" dxfId="803" priority="77">
      <formula>$F1093=4</formula>
    </cfRule>
    <cfRule type="expression" dxfId="802" priority="78">
      <formula>$F1093=3</formula>
    </cfRule>
    <cfRule type="expression" dxfId="801" priority="79">
      <formula>$F1093=2</formula>
    </cfRule>
    <cfRule type="expression" dxfId="800" priority="80">
      <formula>$F1093=1</formula>
    </cfRule>
  </conditionalFormatting>
  <conditionalFormatting sqref="F1175 B1177:F1178 B1182:D1182 F1182">
    <cfRule type="expression" dxfId="799" priority="369">
      <formula>$J1466=9</formula>
    </cfRule>
    <cfRule type="expression" dxfId="798" priority="370">
      <formula>$J1466=7</formula>
    </cfRule>
    <cfRule type="expression" dxfId="797" priority="371">
      <formula>$J1466=6</formula>
    </cfRule>
    <cfRule type="expression" dxfId="796" priority="372">
      <formula>$J1466=5</formula>
    </cfRule>
    <cfRule type="expression" dxfId="795" priority="373">
      <formula>$J1466=4</formula>
    </cfRule>
    <cfRule type="expression" dxfId="794" priority="374">
      <formula>$J1466=3</formula>
    </cfRule>
    <cfRule type="expression" dxfId="793" priority="375">
      <formula>$J1466=2</formula>
    </cfRule>
    <cfRule type="expression" dxfId="792" priority="376">
      <formula>$J1466=1</formula>
    </cfRule>
  </conditionalFormatting>
  <conditionalFormatting sqref="F1240:F1246">
    <cfRule type="expression" dxfId="791" priority="793">
      <formula>$F1240=9</formula>
    </cfRule>
    <cfRule type="expression" dxfId="790" priority="794">
      <formula>$F1240=7</formula>
    </cfRule>
    <cfRule type="expression" dxfId="789" priority="795">
      <formula>$F1240=6</formula>
    </cfRule>
    <cfRule type="expression" dxfId="788" priority="796">
      <formula>$F1240=5</formula>
    </cfRule>
    <cfRule type="expression" dxfId="787" priority="797">
      <formula>$F1240=4</formula>
    </cfRule>
    <cfRule type="expression" dxfId="786" priority="798">
      <formula>$F1240=3</formula>
    </cfRule>
    <cfRule type="expression" dxfId="785" priority="799">
      <formula>$F1240=2</formula>
    </cfRule>
    <cfRule type="expression" dxfId="784" priority="800">
      <formula>$F1240=1</formula>
    </cfRule>
  </conditionalFormatting>
  <conditionalFormatting sqref="F1249:F1254">
    <cfRule type="expression" dxfId="783" priority="785">
      <formula>$F1249=9</formula>
    </cfRule>
    <cfRule type="expression" dxfId="782" priority="786">
      <formula>$F1249=7</formula>
    </cfRule>
    <cfRule type="expression" dxfId="781" priority="787">
      <formula>$F1249=6</formula>
    </cfRule>
    <cfRule type="expression" dxfId="780" priority="788">
      <formula>$F1249=5</formula>
    </cfRule>
    <cfRule type="expression" dxfId="779" priority="789">
      <formula>$F1249=4</formula>
    </cfRule>
    <cfRule type="expression" dxfId="778" priority="790">
      <formula>$F1249=3</formula>
    </cfRule>
    <cfRule type="expression" dxfId="777" priority="791">
      <formula>$F1249=2</formula>
    </cfRule>
    <cfRule type="expression" dxfId="776" priority="792">
      <formula>$F1249=1</formula>
    </cfRule>
  </conditionalFormatting>
  <pageMargins left="0.51181102362204722" right="0.19685039370078741" top="0.74803149606299213" bottom="0.74803149606299213" header="0.31496062992125984" footer="0.31496062992125984"/>
  <pageSetup firstPageNumber="13" orientation="landscape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5"/>
  <sheetViews>
    <sheetView workbookViewId="0">
      <pane ySplit="5" topLeftCell="A6" activePane="bottomLeft" state="frozen"/>
      <selection pane="bottomLeft" activeCell="K13" sqref="K13"/>
    </sheetView>
  </sheetViews>
  <sheetFormatPr defaultRowHeight="14.4" x14ac:dyDescent="0.3"/>
  <cols>
    <col min="1" max="1" width="3.6640625" customWidth="1"/>
    <col min="2" max="2" width="22.88671875" customWidth="1"/>
    <col min="3" max="3" width="5.44140625" customWidth="1"/>
    <col min="4" max="4" width="11.33203125" customWidth="1"/>
    <col min="5" max="5" width="25" customWidth="1"/>
    <col min="6" max="6" width="14.6640625" customWidth="1"/>
    <col min="7" max="7" width="13.88671875" customWidth="1"/>
    <col min="8" max="8" width="14.6640625" customWidth="1"/>
    <col min="9" max="9" width="13.88671875" customWidth="1"/>
    <col min="10" max="10" width="10.109375" customWidth="1"/>
    <col min="11" max="11" width="14.5546875" bestFit="1" customWidth="1"/>
  </cols>
  <sheetData>
    <row r="1" spans="1:10" x14ac:dyDescent="0.3">
      <c r="A1" s="585" t="s">
        <v>5</v>
      </c>
      <c r="B1" s="585"/>
      <c r="C1" s="585"/>
      <c r="D1" s="585"/>
      <c r="E1" s="585"/>
      <c r="F1" s="585"/>
      <c r="G1" s="585"/>
      <c r="H1" s="585"/>
      <c r="I1" s="585"/>
      <c r="J1" s="585"/>
    </row>
    <row r="2" spans="1:10" x14ac:dyDescent="0.3">
      <c r="A2" s="585" t="s">
        <v>1157</v>
      </c>
      <c r="B2" s="585"/>
      <c r="C2" s="585"/>
      <c r="D2" s="585"/>
      <c r="E2" s="585"/>
      <c r="F2" s="585"/>
      <c r="G2" s="585"/>
      <c r="H2" s="585"/>
      <c r="I2" s="585"/>
      <c r="J2" s="585"/>
    </row>
    <row r="3" spans="1:10" x14ac:dyDescent="0.3">
      <c r="A3" s="585" t="s">
        <v>18</v>
      </c>
      <c r="B3" s="585"/>
      <c r="C3" s="585"/>
      <c r="D3" s="585"/>
      <c r="E3" s="585"/>
      <c r="F3" s="585"/>
      <c r="G3" s="585"/>
      <c r="H3" s="585"/>
      <c r="I3" s="585"/>
      <c r="J3" s="585"/>
    </row>
    <row r="4" spans="1:10" x14ac:dyDescent="0.3">
      <c r="A4" s="586"/>
      <c r="B4" s="586"/>
      <c r="C4" s="586"/>
      <c r="D4" s="586"/>
      <c r="E4" s="586"/>
      <c r="F4" s="586"/>
      <c r="G4" s="586"/>
      <c r="H4" s="586"/>
      <c r="I4" s="586"/>
      <c r="J4" s="586"/>
    </row>
    <row r="5" spans="1:10" s="21" customFormat="1" ht="38.25" customHeight="1" x14ac:dyDescent="0.3">
      <c r="A5" s="142" t="s">
        <v>0</v>
      </c>
      <c r="B5" s="142" t="s">
        <v>16</v>
      </c>
      <c r="C5" s="142" t="s">
        <v>2</v>
      </c>
      <c r="D5" s="142" t="s">
        <v>12</v>
      </c>
      <c r="E5" s="142" t="s">
        <v>19</v>
      </c>
      <c r="F5" s="142" t="s">
        <v>468</v>
      </c>
      <c r="G5" s="142" t="s">
        <v>1079</v>
      </c>
      <c r="H5" s="142" t="s">
        <v>469</v>
      </c>
      <c r="I5" s="142" t="s">
        <v>1161</v>
      </c>
      <c r="J5" s="142" t="s">
        <v>46</v>
      </c>
    </row>
    <row r="6" spans="1:10" s="22" customFormat="1" ht="21" thickBot="1" x14ac:dyDescent="0.35">
      <c r="A6" s="62">
        <v>1</v>
      </c>
      <c r="B6" s="97" t="s">
        <v>30</v>
      </c>
      <c r="C6" s="54"/>
      <c r="D6" s="87" t="s">
        <v>337</v>
      </c>
      <c r="E6" s="89" t="s">
        <v>338</v>
      </c>
      <c r="F6" s="187">
        <v>100000000</v>
      </c>
      <c r="G6" s="187">
        <v>0</v>
      </c>
      <c r="H6" s="187">
        <v>40000000</v>
      </c>
      <c r="I6" s="188">
        <f>F6-H6</f>
        <v>60000000</v>
      </c>
      <c r="J6" s="62" t="s">
        <v>339</v>
      </c>
    </row>
    <row r="7" spans="1:10" s="22" customFormat="1" ht="24" customHeight="1" thickBot="1" x14ac:dyDescent="0.35">
      <c r="A7" s="93"/>
      <c r="B7" s="85"/>
      <c r="C7" s="94"/>
      <c r="D7" s="95"/>
      <c r="E7" s="88" t="s">
        <v>336</v>
      </c>
      <c r="F7" s="96">
        <f t="shared" ref="F7:H7" si="0">SUM(F6)</f>
        <v>100000000</v>
      </c>
      <c r="G7" s="96">
        <f t="shared" si="0"/>
        <v>0</v>
      </c>
      <c r="H7" s="96">
        <f t="shared" si="0"/>
        <v>40000000</v>
      </c>
      <c r="I7" s="96">
        <f>SUM(I6)</f>
        <v>60000000</v>
      </c>
      <c r="J7" s="189"/>
    </row>
    <row r="8" spans="1:10" s="22" customFormat="1" ht="6.75" customHeight="1" x14ac:dyDescent="0.3">
      <c r="A8" s="90"/>
      <c r="B8" s="183"/>
      <c r="C8" s="91"/>
      <c r="D8" s="92"/>
      <c r="E8" s="184"/>
      <c r="F8" s="185"/>
      <c r="G8" s="185"/>
      <c r="H8" s="185"/>
      <c r="I8" s="186"/>
      <c r="J8" s="23"/>
    </row>
    <row r="9" spans="1:10" s="22" customFormat="1" ht="24" customHeight="1" thickBot="1" x14ac:dyDescent="0.35">
      <c r="A9" s="62">
        <v>2</v>
      </c>
      <c r="B9" s="191" t="s">
        <v>34</v>
      </c>
      <c r="C9" s="54"/>
      <c r="D9" s="87" t="s">
        <v>340</v>
      </c>
      <c r="E9" s="129" t="s">
        <v>341</v>
      </c>
      <c r="F9" s="70">
        <v>70000000</v>
      </c>
      <c r="G9" s="70">
        <v>0</v>
      </c>
      <c r="H9" s="70">
        <v>40000000</v>
      </c>
      <c r="I9" s="188">
        <f>F9-H9</f>
        <v>30000000</v>
      </c>
      <c r="J9" s="62" t="s">
        <v>339</v>
      </c>
    </row>
    <row r="10" spans="1:10" s="22" customFormat="1" ht="24" customHeight="1" thickBot="1" x14ac:dyDescent="0.35">
      <c r="A10" s="71"/>
      <c r="B10" s="85"/>
      <c r="C10" s="94"/>
      <c r="D10" s="194"/>
      <c r="E10" s="85" t="s">
        <v>326</v>
      </c>
      <c r="F10" s="65">
        <f t="shared" ref="F10:H10" si="1">SUM(F9)</f>
        <v>70000000</v>
      </c>
      <c r="G10" s="65">
        <f t="shared" si="1"/>
        <v>0</v>
      </c>
      <c r="H10" s="65">
        <f t="shared" si="1"/>
        <v>40000000</v>
      </c>
      <c r="I10" s="65">
        <f>SUM(I9)</f>
        <v>30000000</v>
      </c>
      <c r="J10" s="189"/>
    </row>
    <row r="11" spans="1:10" s="22" customFormat="1" ht="7.5" customHeight="1" x14ac:dyDescent="0.3">
      <c r="A11" s="68"/>
      <c r="B11" s="183"/>
      <c r="C11" s="91"/>
      <c r="D11" s="192"/>
      <c r="E11" s="184"/>
      <c r="F11" s="185"/>
      <c r="G11" s="185"/>
      <c r="H11" s="185"/>
      <c r="I11" s="185"/>
      <c r="J11" s="193"/>
    </row>
    <row r="12" spans="1:10" s="22" customFormat="1" ht="24" customHeight="1" thickBot="1" x14ac:dyDescent="0.35">
      <c r="A12" s="62">
        <v>3</v>
      </c>
      <c r="B12" s="97" t="s">
        <v>45</v>
      </c>
      <c r="C12" s="54"/>
      <c r="D12" s="196" t="s">
        <v>343</v>
      </c>
      <c r="E12" s="170" t="s">
        <v>342</v>
      </c>
      <c r="F12" s="70">
        <v>50000000</v>
      </c>
      <c r="G12" s="70">
        <v>0</v>
      </c>
      <c r="H12" s="70">
        <v>40000000</v>
      </c>
      <c r="I12" s="188">
        <f>F12-H12</f>
        <v>10000000</v>
      </c>
      <c r="J12" s="62" t="s">
        <v>339</v>
      </c>
    </row>
    <row r="13" spans="1:10" s="22" customFormat="1" ht="24" customHeight="1" thickBot="1" x14ac:dyDescent="0.35">
      <c r="A13" s="71"/>
      <c r="B13" s="85"/>
      <c r="C13" s="94"/>
      <c r="D13" s="194"/>
      <c r="E13" s="88" t="s">
        <v>257</v>
      </c>
      <c r="F13" s="65">
        <f>SUM(F12)</f>
        <v>50000000</v>
      </c>
      <c r="G13" s="65">
        <f>SUM(G12)</f>
        <v>0</v>
      </c>
      <c r="H13" s="65">
        <f>SUM(H12)</f>
        <v>40000000</v>
      </c>
      <c r="I13" s="65">
        <f>SUM(I12)</f>
        <v>10000000</v>
      </c>
      <c r="J13" s="189"/>
    </row>
    <row r="14" spans="1:10" s="22" customFormat="1" ht="6.75" customHeight="1" x14ac:dyDescent="0.3">
      <c r="A14" s="68"/>
      <c r="B14" s="183"/>
      <c r="C14" s="91"/>
      <c r="D14" s="192"/>
      <c r="E14" s="184"/>
      <c r="F14" s="185"/>
      <c r="G14" s="185"/>
      <c r="H14" s="185"/>
      <c r="I14" s="185"/>
      <c r="J14" s="193"/>
    </row>
    <row r="15" spans="1:10" s="22" customFormat="1" ht="24" customHeight="1" x14ac:dyDescent="0.3">
      <c r="A15" s="61">
        <v>4</v>
      </c>
      <c r="B15" s="182" t="s">
        <v>29</v>
      </c>
      <c r="C15" s="43"/>
      <c r="D15" s="190" t="s">
        <v>344</v>
      </c>
      <c r="E15" s="122" t="s">
        <v>345</v>
      </c>
      <c r="F15" s="63">
        <v>80688000</v>
      </c>
      <c r="G15" s="63">
        <v>0</v>
      </c>
      <c r="H15" s="63">
        <v>50000000</v>
      </c>
      <c r="I15" s="188">
        <f t="shared" ref="I15:I16" si="2">F15-H15</f>
        <v>30688000</v>
      </c>
      <c r="J15" s="62" t="s">
        <v>339</v>
      </c>
    </row>
    <row r="16" spans="1:10" s="22" customFormat="1" ht="24" customHeight="1" thickBot="1" x14ac:dyDescent="0.35">
      <c r="A16" s="62"/>
      <c r="B16" s="191"/>
      <c r="C16" s="54"/>
      <c r="D16" s="128" t="s">
        <v>347</v>
      </c>
      <c r="E16" s="273" t="s">
        <v>346</v>
      </c>
      <c r="F16" s="198">
        <v>200000000</v>
      </c>
      <c r="G16" s="198">
        <v>10234000</v>
      </c>
      <c r="H16" s="198">
        <v>140000000</v>
      </c>
      <c r="I16" s="188">
        <f t="shared" si="2"/>
        <v>60000000</v>
      </c>
      <c r="J16" s="62" t="s">
        <v>339</v>
      </c>
    </row>
    <row r="17" spans="1:10" s="22" customFormat="1" ht="22.2" thickBot="1" x14ac:dyDescent="0.35">
      <c r="A17" s="71"/>
      <c r="B17" s="85"/>
      <c r="C17" s="94"/>
      <c r="D17" s="194"/>
      <c r="E17" s="85" t="s">
        <v>333</v>
      </c>
      <c r="F17" s="65">
        <f t="shared" ref="F17:H17" si="3">SUM(F15:F16)</f>
        <v>280688000</v>
      </c>
      <c r="G17" s="65">
        <f t="shared" si="3"/>
        <v>10234000</v>
      </c>
      <c r="H17" s="65">
        <f t="shared" si="3"/>
        <v>190000000</v>
      </c>
      <c r="I17" s="65">
        <f>SUM(I15:I16)</f>
        <v>90688000</v>
      </c>
      <c r="J17" s="189"/>
    </row>
    <row r="18" spans="1:10" s="22" customFormat="1" ht="6.75" customHeight="1" x14ac:dyDescent="0.3">
      <c r="A18" s="68"/>
      <c r="B18" s="183"/>
      <c r="C18" s="91"/>
      <c r="D18" s="192"/>
      <c r="E18" s="184"/>
      <c r="F18" s="185"/>
      <c r="G18" s="185"/>
      <c r="H18" s="185"/>
      <c r="I18" s="185"/>
      <c r="J18" s="193"/>
    </row>
    <row r="19" spans="1:10" s="22" customFormat="1" ht="21.6" x14ac:dyDescent="0.3">
      <c r="A19" s="61">
        <v>5</v>
      </c>
      <c r="B19" s="182" t="s">
        <v>348</v>
      </c>
      <c r="C19" s="43"/>
      <c r="D19" s="190" t="s">
        <v>349</v>
      </c>
      <c r="E19" s="195" t="s">
        <v>350</v>
      </c>
      <c r="F19" s="63">
        <v>100000000</v>
      </c>
      <c r="G19" s="63">
        <v>5346138</v>
      </c>
      <c r="H19" s="63">
        <v>40000000</v>
      </c>
      <c r="I19" s="197">
        <f t="shared" ref="I19:I20" si="4">F19-H19</f>
        <v>60000000</v>
      </c>
      <c r="J19" s="62" t="s">
        <v>339</v>
      </c>
    </row>
    <row r="20" spans="1:10" s="22" customFormat="1" ht="18" customHeight="1" x14ac:dyDescent="0.3">
      <c r="A20" s="61"/>
      <c r="B20" s="182"/>
      <c r="C20" s="43"/>
      <c r="D20" s="190" t="s">
        <v>351</v>
      </c>
      <c r="E20" s="195" t="s">
        <v>592</v>
      </c>
      <c r="F20" s="63">
        <v>108000000</v>
      </c>
      <c r="G20" s="63">
        <v>0</v>
      </c>
      <c r="H20" s="63">
        <v>0</v>
      </c>
      <c r="I20" s="197">
        <f t="shared" si="4"/>
        <v>108000000</v>
      </c>
      <c r="J20" s="62" t="s">
        <v>339</v>
      </c>
    </row>
    <row r="21" spans="1:10" s="22" customFormat="1" ht="20.399999999999999" x14ac:dyDescent="0.3">
      <c r="A21" s="61"/>
      <c r="B21" s="182"/>
      <c r="C21" s="43"/>
      <c r="D21" s="190" t="s">
        <v>353</v>
      </c>
      <c r="E21" s="122" t="s">
        <v>352</v>
      </c>
      <c r="F21" s="63">
        <v>40000000</v>
      </c>
      <c r="G21" s="63">
        <v>0</v>
      </c>
      <c r="H21" s="63">
        <v>17000000</v>
      </c>
      <c r="I21" s="197">
        <f>F21-H21</f>
        <v>23000000</v>
      </c>
      <c r="J21" s="62" t="s">
        <v>339</v>
      </c>
    </row>
    <row r="22" spans="1:10" s="22" customFormat="1" x14ac:dyDescent="0.3">
      <c r="A22" s="61"/>
      <c r="B22" s="182"/>
      <c r="C22" s="43"/>
      <c r="D22" s="127" t="s">
        <v>448</v>
      </c>
      <c r="E22" s="122" t="s">
        <v>449</v>
      </c>
      <c r="F22" s="63">
        <v>30000000</v>
      </c>
      <c r="G22" s="63">
        <v>0</v>
      </c>
      <c r="H22" s="63">
        <v>10000000</v>
      </c>
      <c r="I22" s="197">
        <f t="shared" ref="I22:I27" si="5">F22-H22</f>
        <v>20000000</v>
      </c>
      <c r="J22" s="62" t="s">
        <v>339</v>
      </c>
    </row>
    <row r="23" spans="1:10" s="22" customFormat="1" ht="30.6" x14ac:dyDescent="0.3">
      <c r="A23" s="61"/>
      <c r="B23" s="182"/>
      <c r="C23" s="43"/>
      <c r="D23" s="190" t="s">
        <v>451</v>
      </c>
      <c r="E23" s="122" t="s">
        <v>450</v>
      </c>
      <c r="F23" s="63">
        <v>20000000</v>
      </c>
      <c r="G23" s="63">
        <v>0</v>
      </c>
      <c r="H23" s="63">
        <v>10000000</v>
      </c>
      <c r="I23" s="197">
        <f t="shared" si="5"/>
        <v>10000000</v>
      </c>
      <c r="J23" s="62" t="s">
        <v>339</v>
      </c>
    </row>
    <row r="24" spans="1:10" s="22" customFormat="1" ht="20.399999999999999" x14ac:dyDescent="0.3">
      <c r="A24" s="61"/>
      <c r="B24" s="182"/>
      <c r="C24" s="43"/>
      <c r="D24" s="190" t="s">
        <v>453</v>
      </c>
      <c r="E24" s="122" t="s">
        <v>452</v>
      </c>
      <c r="F24" s="63">
        <v>10000000</v>
      </c>
      <c r="G24" s="63">
        <v>0</v>
      </c>
      <c r="H24" s="63">
        <v>5000000</v>
      </c>
      <c r="I24" s="197">
        <f t="shared" si="5"/>
        <v>5000000</v>
      </c>
      <c r="J24" s="61" t="s">
        <v>339</v>
      </c>
    </row>
    <row r="25" spans="1:10" s="22" customFormat="1" ht="17.25" customHeight="1" x14ac:dyDescent="0.3">
      <c r="A25" s="61"/>
      <c r="B25" s="182"/>
      <c r="C25" s="43"/>
      <c r="D25" s="190" t="s">
        <v>455</v>
      </c>
      <c r="E25" s="122" t="s">
        <v>454</v>
      </c>
      <c r="F25" s="63">
        <v>10000000</v>
      </c>
      <c r="G25" s="63">
        <v>0</v>
      </c>
      <c r="H25" s="63">
        <v>5000000</v>
      </c>
      <c r="I25" s="197">
        <f t="shared" si="5"/>
        <v>5000000</v>
      </c>
      <c r="J25" s="62" t="s">
        <v>339</v>
      </c>
    </row>
    <row r="26" spans="1:10" s="22" customFormat="1" x14ac:dyDescent="0.3">
      <c r="A26" s="61"/>
      <c r="B26" s="182"/>
      <c r="C26" s="43"/>
      <c r="D26" s="127" t="s">
        <v>457</v>
      </c>
      <c r="E26" s="122" t="s">
        <v>456</v>
      </c>
      <c r="F26" s="63">
        <v>12000000</v>
      </c>
      <c r="G26" s="63">
        <v>0</v>
      </c>
      <c r="H26" s="63">
        <v>5000000</v>
      </c>
      <c r="I26" s="197">
        <f t="shared" si="5"/>
        <v>7000000</v>
      </c>
      <c r="J26" s="62" t="s">
        <v>339</v>
      </c>
    </row>
    <row r="27" spans="1:10" s="22" customFormat="1" ht="31.2" thickBot="1" x14ac:dyDescent="0.35">
      <c r="A27" s="61"/>
      <c r="B27" s="182"/>
      <c r="C27" s="43"/>
      <c r="D27" s="190" t="s">
        <v>459</v>
      </c>
      <c r="E27" s="122" t="s">
        <v>458</v>
      </c>
      <c r="F27" s="63">
        <v>10000000</v>
      </c>
      <c r="G27" s="63">
        <v>0</v>
      </c>
      <c r="H27" s="63">
        <v>5000000</v>
      </c>
      <c r="I27" s="197">
        <f t="shared" si="5"/>
        <v>5000000</v>
      </c>
      <c r="J27" s="62" t="s">
        <v>339</v>
      </c>
    </row>
    <row r="28" spans="1:10" s="22" customFormat="1" ht="37.5" customHeight="1" thickBot="1" x14ac:dyDescent="0.35">
      <c r="A28" s="71"/>
      <c r="B28" s="85"/>
      <c r="C28" s="94"/>
      <c r="D28" s="194"/>
      <c r="E28" s="85" t="s">
        <v>354</v>
      </c>
      <c r="F28" s="65">
        <f>SUM(F19:F27)</f>
        <v>340000000</v>
      </c>
      <c r="G28" s="65">
        <f>SUM(G19:G27)</f>
        <v>5346138</v>
      </c>
      <c r="H28" s="65">
        <f>SUM(H19:H27)</f>
        <v>97000000</v>
      </c>
      <c r="I28" s="65">
        <f>SUM(I19:I27)</f>
        <v>243000000</v>
      </c>
      <c r="J28" s="189"/>
    </row>
    <row r="29" spans="1:10" s="22" customFormat="1" ht="7.5" customHeight="1" x14ac:dyDescent="0.3">
      <c r="A29" s="68"/>
      <c r="B29" s="183"/>
      <c r="C29" s="91"/>
      <c r="D29" s="192"/>
      <c r="E29" s="184"/>
      <c r="F29" s="185"/>
      <c r="G29" s="185"/>
      <c r="H29" s="185"/>
      <c r="I29" s="185"/>
      <c r="J29" s="193"/>
    </row>
    <row r="30" spans="1:10" s="22" customFormat="1" ht="24" customHeight="1" x14ac:dyDescent="0.3">
      <c r="A30" s="61">
        <v>6</v>
      </c>
      <c r="B30" s="98" t="s">
        <v>31</v>
      </c>
      <c r="C30" s="43"/>
      <c r="D30" s="190" t="s">
        <v>356</v>
      </c>
      <c r="E30" s="195" t="s">
        <v>355</v>
      </c>
      <c r="F30" s="63">
        <v>100000000</v>
      </c>
      <c r="G30" s="63">
        <v>0</v>
      </c>
      <c r="H30" s="63">
        <v>30000000</v>
      </c>
      <c r="I30" s="197">
        <f>F30-H30</f>
        <v>70000000</v>
      </c>
      <c r="J30" s="62" t="s">
        <v>339</v>
      </c>
    </row>
    <row r="31" spans="1:10" s="22" customFormat="1" ht="24" customHeight="1" thickBot="1" x14ac:dyDescent="0.35">
      <c r="A31" s="62"/>
      <c r="B31" s="97"/>
      <c r="C31" s="54"/>
      <c r="D31" s="128" t="s">
        <v>319</v>
      </c>
      <c r="E31" s="129" t="s">
        <v>322</v>
      </c>
      <c r="F31" s="130">
        <v>4013400000</v>
      </c>
      <c r="G31" s="70">
        <v>0</v>
      </c>
      <c r="H31" s="229">
        <v>2213400000</v>
      </c>
      <c r="I31" s="198">
        <f>F31-H31</f>
        <v>1800000000</v>
      </c>
      <c r="J31" s="62" t="s">
        <v>339</v>
      </c>
    </row>
    <row r="32" spans="1:10" s="22" customFormat="1" ht="24" customHeight="1" thickBot="1" x14ac:dyDescent="0.35">
      <c r="A32" s="71"/>
      <c r="B32" s="85"/>
      <c r="C32" s="94"/>
      <c r="D32" s="194"/>
      <c r="E32" s="88" t="s">
        <v>316</v>
      </c>
      <c r="F32" s="65">
        <f>SUM(F30:F31)</f>
        <v>4113400000</v>
      </c>
      <c r="G32" s="65">
        <f>SUM(G30:G31)</f>
        <v>0</v>
      </c>
      <c r="H32" s="65">
        <f>SUM(H30:H31)</f>
        <v>2243400000</v>
      </c>
      <c r="I32" s="65">
        <f>SUM(I30:I31)</f>
        <v>1870000000</v>
      </c>
      <c r="J32" s="189"/>
    </row>
    <row r="33" spans="1:10" s="22" customFormat="1" ht="7.5" customHeight="1" x14ac:dyDescent="0.3">
      <c r="A33" s="68"/>
      <c r="B33" s="183"/>
      <c r="C33" s="91"/>
      <c r="D33" s="192"/>
      <c r="E33" s="184"/>
      <c r="F33" s="185"/>
      <c r="G33" s="185"/>
      <c r="H33" s="185"/>
      <c r="I33" s="185"/>
      <c r="J33" s="193"/>
    </row>
    <row r="34" spans="1:10" s="22" customFormat="1" ht="32.4" thickBot="1" x14ac:dyDescent="0.35">
      <c r="A34" s="172">
        <v>7</v>
      </c>
      <c r="B34" s="181" t="s">
        <v>33</v>
      </c>
      <c r="C34" s="180"/>
      <c r="D34" s="199" t="s">
        <v>359</v>
      </c>
      <c r="E34" s="129" t="s">
        <v>358</v>
      </c>
      <c r="F34" s="171">
        <v>28000000</v>
      </c>
      <c r="G34" s="171">
        <v>0</v>
      </c>
      <c r="H34" s="171">
        <v>18000000</v>
      </c>
      <c r="I34" s="198">
        <f>F34-H34</f>
        <v>10000000</v>
      </c>
      <c r="J34" s="62" t="s">
        <v>339</v>
      </c>
    </row>
    <row r="35" spans="1:10" s="22" customFormat="1" ht="32.4" thickBot="1" x14ac:dyDescent="0.35">
      <c r="A35" s="200"/>
      <c r="B35" s="85"/>
      <c r="C35" s="201"/>
      <c r="D35" s="202"/>
      <c r="E35" s="85" t="s">
        <v>357</v>
      </c>
      <c r="F35" s="65">
        <f t="shared" ref="F35:H35" si="6">SUM(F34)</f>
        <v>28000000</v>
      </c>
      <c r="G35" s="65">
        <f t="shared" si="6"/>
        <v>0</v>
      </c>
      <c r="H35" s="65">
        <f t="shared" si="6"/>
        <v>18000000</v>
      </c>
      <c r="I35" s="65">
        <f>SUM(I34)</f>
        <v>10000000</v>
      </c>
      <c r="J35" s="203"/>
    </row>
    <row r="36" spans="1:10" s="22" customFormat="1" ht="6.75" customHeight="1" x14ac:dyDescent="0.3">
      <c r="A36" s="68"/>
      <c r="B36" s="183"/>
      <c r="C36" s="91"/>
      <c r="D36" s="192"/>
      <c r="E36" s="184"/>
      <c r="F36" s="185"/>
      <c r="G36" s="185"/>
      <c r="H36" s="185"/>
      <c r="I36" s="185"/>
      <c r="J36" s="193"/>
    </row>
    <row r="37" spans="1:10" s="22" customFormat="1" ht="21.6" x14ac:dyDescent="0.3">
      <c r="A37" s="61">
        <v>8</v>
      </c>
      <c r="B37" s="182" t="s">
        <v>360</v>
      </c>
      <c r="C37" s="43"/>
      <c r="D37" s="190" t="s">
        <v>361</v>
      </c>
      <c r="E37" s="122" t="s">
        <v>362</v>
      </c>
      <c r="F37" s="63">
        <v>100000000</v>
      </c>
      <c r="G37" s="63">
        <v>0</v>
      </c>
      <c r="H37" s="63">
        <v>70000000</v>
      </c>
      <c r="I37" s="197">
        <f>F37-H37</f>
        <v>30000000</v>
      </c>
      <c r="J37" s="62" t="s">
        <v>339</v>
      </c>
    </row>
    <row r="38" spans="1:10" s="22" customFormat="1" ht="24" customHeight="1" thickBot="1" x14ac:dyDescent="0.35">
      <c r="A38" s="260"/>
      <c r="B38" s="261"/>
      <c r="C38" s="262"/>
      <c r="D38" s="263"/>
      <c r="E38" s="335"/>
      <c r="F38" s="264">
        <f t="shared" ref="F38:H38" si="7">SUM(F37)</f>
        <v>100000000</v>
      </c>
      <c r="G38" s="264">
        <f t="shared" si="7"/>
        <v>0</v>
      </c>
      <c r="H38" s="264">
        <f t="shared" si="7"/>
        <v>70000000</v>
      </c>
      <c r="I38" s="264">
        <f>SUM(I37)</f>
        <v>30000000</v>
      </c>
      <c r="J38" s="265"/>
    </row>
    <row r="39" spans="1:10" s="22" customFormat="1" ht="6.75" customHeight="1" x14ac:dyDescent="0.3">
      <c r="A39" s="68"/>
      <c r="B39" s="183"/>
      <c r="C39" s="91"/>
      <c r="D39" s="192"/>
      <c r="E39" s="184"/>
      <c r="F39" s="185"/>
      <c r="G39" s="185"/>
      <c r="H39" s="185"/>
      <c r="I39" s="185"/>
      <c r="J39" s="193"/>
    </row>
    <row r="40" spans="1:10" s="22" customFormat="1" ht="24" customHeight="1" thickBot="1" x14ac:dyDescent="0.35">
      <c r="A40" s="172">
        <v>9</v>
      </c>
      <c r="B40" s="181" t="s">
        <v>14</v>
      </c>
      <c r="C40" s="180"/>
      <c r="D40" s="199" t="s">
        <v>364</v>
      </c>
      <c r="E40" s="170" t="s">
        <v>363</v>
      </c>
      <c r="F40" s="171">
        <v>600000000</v>
      </c>
      <c r="G40" s="171">
        <v>0</v>
      </c>
      <c r="H40" s="171">
        <v>100000000</v>
      </c>
      <c r="I40" s="198">
        <f>F40-H40</f>
        <v>500000000</v>
      </c>
      <c r="J40" s="62" t="s">
        <v>339</v>
      </c>
    </row>
    <row r="41" spans="1:10" s="22" customFormat="1" ht="24" customHeight="1" thickBot="1" x14ac:dyDescent="0.35">
      <c r="A41" s="71"/>
      <c r="B41" s="85"/>
      <c r="C41" s="94"/>
      <c r="D41" s="194"/>
      <c r="E41" s="85" t="s">
        <v>365</v>
      </c>
      <c r="F41" s="65">
        <f t="shared" ref="F41:H41" si="8">SUM(F40)</f>
        <v>600000000</v>
      </c>
      <c r="G41" s="65">
        <f t="shared" si="8"/>
        <v>0</v>
      </c>
      <c r="H41" s="65">
        <f t="shared" si="8"/>
        <v>100000000</v>
      </c>
      <c r="I41" s="65">
        <f>SUM(I40)</f>
        <v>500000000</v>
      </c>
      <c r="J41" s="189"/>
    </row>
    <row r="42" spans="1:10" s="22" customFormat="1" ht="6.75" customHeight="1" x14ac:dyDescent="0.3">
      <c r="A42" s="68"/>
      <c r="B42" s="183"/>
      <c r="C42" s="91"/>
      <c r="D42" s="192"/>
      <c r="E42" s="184"/>
      <c r="F42" s="185"/>
      <c r="G42" s="185"/>
      <c r="H42" s="185"/>
      <c r="I42" s="185"/>
      <c r="J42" s="193"/>
    </row>
    <row r="43" spans="1:10" s="22" customFormat="1" ht="31.2" thickBot="1" x14ac:dyDescent="0.35">
      <c r="A43" s="172">
        <v>10</v>
      </c>
      <c r="B43" s="181" t="s">
        <v>28</v>
      </c>
      <c r="C43" s="180"/>
      <c r="D43" s="199" t="s">
        <v>368</v>
      </c>
      <c r="E43" s="129" t="s">
        <v>367</v>
      </c>
      <c r="F43" s="171">
        <v>80000000</v>
      </c>
      <c r="G43" s="171">
        <v>0</v>
      </c>
      <c r="H43" s="171">
        <v>50000000</v>
      </c>
      <c r="I43" s="198">
        <f>F43-H43</f>
        <v>30000000</v>
      </c>
      <c r="J43" s="62" t="s">
        <v>339</v>
      </c>
    </row>
    <row r="44" spans="1:10" s="22" customFormat="1" ht="24" customHeight="1" thickBot="1" x14ac:dyDescent="0.35">
      <c r="A44" s="71"/>
      <c r="B44" s="85"/>
      <c r="C44" s="94"/>
      <c r="D44" s="194"/>
      <c r="E44" s="85" t="s">
        <v>366</v>
      </c>
      <c r="F44" s="65">
        <f t="shared" ref="F44:H44" si="9">SUM(F43)</f>
        <v>80000000</v>
      </c>
      <c r="G44" s="65">
        <f t="shared" si="9"/>
        <v>0</v>
      </c>
      <c r="H44" s="65">
        <f t="shared" si="9"/>
        <v>50000000</v>
      </c>
      <c r="I44" s="65">
        <f>SUM(I43)</f>
        <v>30000000</v>
      </c>
      <c r="J44" s="189"/>
    </row>
    <row r="45" spans="1:10" s="22" customFormat="1" ht="6" customHeight="1" x14ac:dyDescent="0.3">
      <c r="A45" s="68"/>
      <c r="B45" s="183"/>
      <c r="C45" s="91"/>
      <c r="D45" s="192"/>
      <c r="E45" s="184"/>
      <c r="F45" s="185"/>
      <c r="G45" s="185"/>
      <c r="H45" s="185"/>
      <c r="I45" s="185"/>
      <c r="J45" s="193"/>
    </row>
    <row r="46" spans="1:10" s="22" customFormat="1" ht="31.8" x14ac:dyDescent="0.3">
      <c r="A46" s="61">
        <v>11</v>
      </c>
      <c r="B46" s="182" t="s">
        <v>182</v>
      </c>
      <c r="C46" s="43"/>
      <c r="D46" s="190" t="s">
        <v>369</v>
      </c>
      <c r="E46" s="122" t="s">
        <v>370</v>
      </c>
      <c r="F46" s="63">
        <v>134595000</v>
      </c>
      <c r="G46" s="63">
        <v>0</v>
      </c>
      <c r="H46" s="63">
        <v>80000000</v>
      </c>
      <c r="I46" s="197">
        <f>F46-H46</f>
        <v>54595000</v>
      </c>
      <c r="J46" s="61" t="s">
        <v>339</v>
      </c>
    </row>
    <row r="47" spans="1:10" s="22" customFormat="1" ht="24" customHeight="1" thickBot="1" x14ac:dyDescent="0.35">
      <c r="A47" s="172"/>
      <c r="B47" s="181"/>
      <c r="C47" s="180"/>
      <c r="D47" s="199" t="s">
        <v>372</v>
      </c>
      <c r="E47" s="129" t="s">
        <v>371</v>
      </c>
      <c r="F47" s="171">
        <v>134595000</v>
      </c>
      <c r="G47" s="171">
        <v>45000000</v>
      </c>
      <c r="H47" s="171">
        <v>40000000</v>
      </c>
      <c r="I47" s="198">
        <f>F47-H47</f>
        <v>94595000</v>
      </c>
      <c r="J47" s="62" t="s">
        <v>339</v>
      </c>
    </row>
    <row r="48" spans="1:10" s="22" customFormat="1" ht="32.4" thickBot="1" x14ac:dyDescent="0.35">
      <c r="A48" s="71"/>
      <c r="B48" s="85"/>
      <c r="C48" s="94"/>
      <c r="D48" s="194"/>
      <c r="E48" s="85" t="s">
        <v>373</v>
      </c>
      <c r="F48" s="65">
        <f t="shared" ref="F48:H48" si="10">SUM(F46:F47)</f>
        <v>269190000</v>
      </c>
      <c r="G48" s="65">
        <f t="shared" si="10"/>
        <v>45000000</v>
      </c>
      <c r="H48" s="65">
        <f t="shared" si="10"/>
        <v>120000000</v>
      </c>
      <c r="I48" s="65">
        <f>SUM(I46:I47)</f>
        <v>149190000</v>
      </c>
      <c r="J48" s="189"/>
    </row>
    <row r="49" spans="1:10" s="22" customFormat="1" ht="6.75" customHeight="1" x14ac:dyDescent="0.3">
      <c r="A49" s="68"/>
      <c r="B49" s="183"/>
      <c r="C49" s="91"/>
      <c r="D49" s="192"/>
      <c r="E49" s="184"/>
      <c r="F49" s="185"/>
      <c r="G49" s="185"/>
      <c r="H49" s="185"/>
      <c r="I49" s="185"/>
      <c r="J49" s="193"/>
    </row>
    <row r="50" spans="1:10" s="22" customFormat="1" ht="21.6" x14ac:dyDescent="0.3">
      <c r="A50" s="68">
        <v>12</v>
      </c>
      <c r="B50" s="328" t="s">
        <v>600</v>
      </c>
      <c r="C50" s="329"/>
      <c r="D50" s="153" t="s">
        <v>375</v>
      </c>
      <c r="E50" s="274" t="s">
        <v>374</v>
      </c>
      <c r="F50" s="330">
        <v>235000000</v>
      </c>
      <c r="G50" s="330">
        <v>6600000</v>
      </c>
      <c r="H50" s="330">
        <v>125000000</v>
      </c>
      <c r="I50" s="198">
        <f t="shared" ref="I50:I51" si="11">F50-H50</f>
        <v>110000000</v>
      </c>
      <c r="J50" s="62" t="s">
        <v>339</v>
      </c>
    </row>
    <row r="51" spans="1:10" s="22" customFormat="1" ht="24" customHeight="1" thickBot="1" x14ac:dyDescent="0.35">
      <c r="A51" s="62"/>
      <c r="B51" s="331"/>
      <c r="C51" s="332"/>
      <c r="D51" s="128" t="s">
        <v>377</v>
      </c>
      <c r="E51" s="273" t="s">
        <v>376</v>
      </c>
      <c r="F51" s="198">
        <v>600000000</v>
      </c>
      <c r="G51" s="198">
        <v>18231419</v>
      </c>
      <c r="H51" s="198">
        <v>0</v>
      </c>
      <c r="I51" s="198">
        <f t="shared" si="11"/>
        <v>600000000</v>
      </c>
      <c r="J51" s="62" t="s">
        <v>339</v>
      </c>
    </row>
    <row r="52" spans="1:10" s="22" customFormat="1" ht="22.2" thickBot="1" x14ac:dyDescent="0.35">
      <c r="A52" s="71"/>
      <c r="B52" s="85"/>
      <c r="C52" s="94"/>
      <c r="D52" s="194"/>
      <c r="E52" s="85" t="s">
        <v>601</v>
      </c>
      <c r="F52" s="65">
        <f t="shared" ref="F52:H52" si="12">SUM(F50:F51)</f>
        <v>835000000</v>
      </c>
      <c r="G52" s="65">
        <f t="shared" si="12"/>
        <v>24831419</v>
      </c>
      <c r="H52" s="65">
        <f t="shared" si="12"/>
        <v>125000000</v>
      </c>
      <c r="I52" s="65">
        <f>SUM(I50:I51)</f>
        <v>710000000</v>
      </c>
      <c r="J52" s="189"/>
    </row>
    <row r="53" spans="1:10" s="22" customFormat="1" ht="7.5" customHeight="1" x14ac:dyDescent="0.3">
      <c r="A53" s="68"/>
      <c r="B53" s="183"/>
      <c r="C53" s="91"/>
      <c r="D53" s="192"/>
      <c r="E53" s="184"/>
      <c r="F53" s="185"/>
      <c r="G53" s="185"/>
      <c r="H53" s="185"/>
      <c r="I53" s="185"/>
      <c r="J53" s="193"/>
    </row>
    <row r="54" spans="1:10" s="22" customFormat="1" ht="22.2" thickBot="1" x14ac:dyDescent="0.35">
      <c r="A54" s="172">
        <v>13</v>
      </c>
      <c r="B54" s="181" t="s">
        <v>25</v>
      </c>
      <c r="C54" s="180"/>
      <c r="D54" s="199" t="s">
        <v>380</v>
      </c>
      <c r="E54" s="129" t="s">
        <v>378</v>
      </c>
      <c r="F54" s="171">
        <v>25000000</v>
      </c>
      <c r="G54" s="171">
        <v>0</v>
      </c>
      <c r="H54" s="171">
        <v>20000000</v>
      </c>
      <c r="I54" s="198">
        <f t="shared" ref="I54" si="13">F54-H54</f>
        <v>5000000</v>
      </c>
      <c r="J54" s="62" t="s">
        <v>339</v>
      </c>
    </row>
    <row r="55" spans="1:10" s="22" customFormat="1" ht="24" customHeight="1" thickBot="1" x14ac:dyDescent="0.35">
      <c r="A55" s="71"/>
      <c r="B55" s="85"/>
      <c r="C55" s="94"/>
      <c r="D55" s="194"/>
      <c r="E55" s="85" t="s">
        <v>379</v>
      </c>
      <c r="F55" s="65">
        <f t="shared" ref="F55:H55" si="14">SUM(F54)</f>
        <v>25000000</v>
      </c>
      <c r="G55" s="65">
        <f t="shared" si="14"/>
        <v>0</v>
      </c>
      <c r="H55" s="65">
        <f t="shared" si="14"/>
        <v>20000000</v>
      </c>
      <c r="I55" s="65">
        <f>SUM(I54)</f>
        <v>5000000</v>
      </c>
      <c r="J55" s="189"/>
    </row>
    <row r="56" spans="1:10" s="22" customFormat="1" ht="24" customHeight="1" thickBot="1" x14ac:dyDescent="0.35">
      <c r="A56" s="172">
        <v>14</v>
      </c>
      <c r="B56" s="325" t="s">
        <v>35</v>
      </c>
      <c r="C56" s="326"/>
      <c r="D56" s="133" t="s">
        <v>382</v>
      </c>
      <c r="E56" s="273" t="s">
        <v>381</v>
      </c>
      <c r="F56" s="327">
        <v>242500000</v>
      </c>
      <c r="G56" s="327">
        <v>1209989</v>
      </c>
      <c r="H56" s="327">
        <v>40000000</v>
      </c>
      <c r="I56" s="198">
        <f t="shared" ref="I56" si="15">F56-H56</f>
        <v>202500000</v>
      </c>
      <c r="J56" s="62" t="s">
        <v>339</v>
      </c>
    </row>
    <row r="57" spans="1:10" s="22" customFormat="1" ht="24" customHeight="1" thickBot="1" x14ac:dyDescent="0.35">
      <c r="A57" s="71"/>
      <c r="B57" s="85"/>
      <c r="C57" s="94"/>
      <c r="D57" s="194"/>
      <c r="E57" s="85" t="s">
        <v>181</v>
      </c>
      <c r="F57" s="65">
        <f t="shared" ref="F57:H57" si="16">SUM(F56)</f>
        <v>242500000</v>
      </c>
      <c r="G57" s="65">
        <f t="shared" si="16"/>
        <v>1209989</v>
      </c>
      <c r="H57" s="65">
        <f t="shared" si="16"/>
        <v>40000000</v>
      </c>
      <c r="I57" s="65">
        <f>SUM(I56)</f>
        <v>202500000</v>
      </c>
      <c r="J57" s="189"/>
    </row>
    <row r="58" spans="1:10" s="22" customFormat="1" ht="7.5" customHeight="1" x14ac:dyDescent="0.3">
      <c r="A58" s="68"/>
      <c r="B58" s="183"/>
      <c r="C58" s="91"/>
      <c r="D58" s="192"/>
      <c r="E58" s="184"/>
      <c r="F58" s="185"/>
      <c r="G58" s="185"/>
      <c r="H58" s="185"/>
      <c r="I58" s="185"/>
      <c r="J58" s="193"/>
    </row>
    <row r="59" spans="1:10" s="22" customFormat="1" ht="24" customHeight="1" x14ac:dyDescent="0.3">
      <c r="A59" s="68">
        <v>15</v>
      </c>
      <c r="B59" s="183" t="s">
        <v>595</v>
      </c>
      <c r="C59" s="91"/>
      <c r="D59" s="192" t="s">
        <v>384</v>
      </c>
      <c r="E59" s="195" t="s">
        <v>383</v>
      </c>
      <c r="F59" s="175">
        <v>500000000</v>
      </c>
      <c r="G59" s="175">
        <v>50000000</v>
      </c>
      <c r="H59" s="175">
        <v>300000000</v>
      </c>
      <c r="I59" s="198">
        <f t="shared" ref="I59:I61" si="17">F59-H59</f>
        <v>200000000</v>
      </c>
      <c r="J59" s="62" t="s">
        <v>339</v>
      </c>
    </row>
    <row r="60" spans="1:10" s="22" customFormat="1" ht="24" customHeight="1" x14ac:dyDescent="0.3">
      <c r="A60" s="61"/>
      <c r="B60" s="182"/>
      <c r="C60" s="43"/>
      <c r="D60" s="127" t="s">
        <v>386</v>
      </c>
      <c r="E60" s="274" t="s">
        <v>385</v>
      </c>
      <c r="F60" s="197">
        <v>846000000</v>
      </c>
      <c r="G60" s="197">
        <v>0</v>
      </c>
      <c r="H60" s="197">
        <v>300000000</v>
      </c>
      <c r="I60" s="197">
        <f t="shared" si="17"/>
        <v>546000000</v>
      </c>
      <c r="J60" s="62" t="s">
        <v>339</v>
      </c>
    </row>
    <row r="61" spans="1:10" s="22" customFormat="1" ht="24" customHeight="1" thickBot="1" x14ac:dyDescent="0.35">
      <c r="A61" s="172"/>
      <c r="B61" s="181"/>
      <c r="C61" s="180"/>
      <c r="D61" s="133" t="s">
        <v>388</v>
      </c>
      <c r="E61" s="273" t="s">
        <v>387</v>
      </c>
      <c r="F61" s="327">
        <v>450000000</v>
      </c>
      <c r="G61" s="327">
        <v>0</v>
      </c>
      <c r="H61" s="327">
        <v>150000000</v>
      </c>
      <c r="I61" s="198">
        <f t="shared" si="17"/>
        <v>300000000</v>
      </c>
      <c r="J61" s="62" t="s">
        <v>339</v>
      </c>
    </row>
    <row r="62" spans="1:10" s="22" customFormat="1" ht="24" customHeight="1" thickBot="1" x14ac:dyDescent="0.35">
      <c r="A62" s="71"/>
      <c r="B62" s="85"/>
      <c r="C62" s="94"/>
      <c r="D62" s="194"/>
      <c r="E62" s="85" t="s">
        <v>389</v>
      </c>
      <c r="F62" s="65">
        <f t="shared" ref="F62:H62" si="18">SUM(F59:F61)</f>
        <v>1796000000</v>
      </c>
      <c r="G62" s="65">
        <f t="shared" si="18"/>
        <v>50000000</v>
      </c>
      <c r="H62" s="65">
        <f t="shared" si="18"/>
        <v>750000000</v>
      </c>
      <c r="I62" s="65">
        <f>SUM(I59:I61)</f>
        <v>1046000000</v>
      </c>
      <c r="J62" s="189"/>
    </row>
    <row r="63" spans="1:10" s="22" customFormat="1" ht="7.5" customHeight="1" x14ac:dyDescent="0.3">
      <c r="A63" s="68"/>
      <c r="B63" s="183"/>
      <c r="C63" s="91"/>
      <c r="D63" s="192"/>
      <c r="E63" s="184"/>
      <c r="F63" s="185"/>
      <c r="G63" s="185"/>
      <c r="H63" s="185"/>
      <c r="I63" s="185"/>
      <c r="J63" s="193"/>
    </row>
    <row r="64" spans="1:10" s="22" customFormat="1" ht="24" customHeight="1" x14ac:dyDescent="0.3">
      <c r="A64" s="68">
        <v>16</v>
      </c>
      <c r="B64" s="183" t="s">
        <v>32</v>
      </c>
      <c r="C64" s="91"/>
      <c r="D64" s="192" t="s">
        <v>391</v>
      </c>
      <c r="E64" s="195" t="s">
        <v>390</v>
      </c>
      <c r="F64" s="175">
        <v>305000000</v>
      </c>
      <c r="G64" s="175">
        <v>0</v>
      </c>
      <c r="H64" s="175">
        <v>150000000</v>
      </c>
      <c r="I64" s="198">
        <f t="shared" ref="I64:I65" si="19">F64-H64</f>
        <v>155000000</v>
      </c>
      <c r="J64" s="62" t="s">
        <v>339</v>
      </c>
    </row>
    <row r="65" spans="1:10" s="22" customFormat="1" ht="24" customHeight="1" thickBot="1" x14ac:dyDescent="0.35">
      <c r="A65" s="172"/>
      <c r="B65" s="181"/>
      <c r="C65" s="180"/>
      <c r="D65" s="199" t="s">
        <v>393</v>
      </c>
      <c r="E65" s="170" t="s">
        <v>392</v>
      </c>
      <c r="F65" s="171">
        <v>100000000</v>
      </c>
      <c r="G65" s="171">
        <v>17033165</v>
      </c>
      <c r="H65" s="171">
        <v>0</v>
      </c>
      <c r="I65" s="198">
        <f t="shared" si="19"/>
        <v>100000000</v>
      </c>
      <c r="J65" s="62" t="s">
        <v>339</v>
      </c>
    </row>
    <row r="66" spans="1:10" s="22" customFormat="1" ht="24" customHeight="1" thickBot="1" x14ac:dyDescent="0.35">
      <c r="A66" s="71"/>
      <c r="B66" s="85"/>
      <c r="C66" s="94"/>
      <c r="D66" s="194"/>
      <c r="E66" s="85" t="s">
        <v>394</v>
      </c>
      <c r="F66" s="65">
        <f t="shared" ref="F66:H66" si="20">SUM(F64:F65)</f>
        <v>405000000</v>
      </c>
      <c r="G66" s="65">
        <f t="shared" si="20"/>
        <v>17033165</v>
      </c>
      <c r="H66" s="65">
        <f t="shared" si="20"/>
        <v>150000000</v>
      </c>
      <c r="I66" s="65">
        <f>SUM(I64:I65)</f>
        <v>255000000</v>
      </c>
      <c r="J66" s="189"/>
    </row>
    <row r="67" spans="1:10" s="22" customFormat="1" ht="6.75" customHeight="1" x14ac:dyDescent="0.3">
      <c r="A67" s="387"/>
      <c r="B67" s="399"/>
      <c r="C67" s="400"/>
      <c r="D67" s="401"/>
      <c r="E67" s="393"/>
      <c r="F67" s="388"/>
      <c r="G67" s="388"/>
      <c r="H67" s="388"/>
      <c r="I67" s="388"/>
      <c r="J67" s="402"/>
    </row>
    <row r="68" spans="1:10" s="22" customFormat="1" ht="32.4" thickBot="1" x14ac:dyDescent="0.35">
      <c r="A68" s="62">
        <v>17</v>
      </c>
      <c r="B68" s="191" t="s">
        <v>185</v>
      </c>
      <c r="C68" s="54"/>
      <c r="D68" s="196" t="s">
        <v>396</v>
      </c>
      <c r="E68" s="170" t="s">
        <v>395</v>
      </c>
      <c r="F68" s="70">
        <v>70000000</v>
      </c>
      <c r="G68" s="70">
        <v>0</v>
      </c>
      <c r="H68" s="70">
        <v>40000000</v>
      </c>
      <c r="I68" s="198">
        <f t="shared" ref="I68" si="21">F68-H68</f>
        <v>30000000</v>
      </c>
      <c r="J68" s="62" t="s">
        <v>339</v>
      </c>
    </row>
    <row r="69" spans="1:10" s="22" customFormat="1" ht="32.4" thickBot="1" x14ac:dyDescent="0.35">
      <c r="A69" s="71"/>
      <c r="B69" s="85"/>
      <c r="C69" s="94"/>
      <c r="D69" s="194"/>
      <c r="E69" s="85" t="s">
        <v>397</v>
      </c>
      <c r="F69" s="65">
        <f>SUM(F68)</f>
        <v>70000000</v>
      </c>
      <c r="G69" s="65">
        <f t="shared" ref="G69:I69" si="22">SUM(G68)</f>
        <v>0</v>
      </c>
      <c r="H69" s="65">
        <f t="shared" si="22"/>
        <v>40000000</v>
      </c>
      <c r="I69" s="65">
        <f t="shared" si="22"/>
        <v>30000000</v>
      </c>
      <c r="J69" s="189"/>
    </row>
    <row r="70" spans="1:10" s="22" customFormat="1" ht="6.75" customHeight="1" x14ac:dyDescent="0.3">
      <c r="A70" s="68"/>
      <c r="B70" s="183"/>
      <c r="C70" s="91"/>
      <c r="D70" s="192"/>
      <c r="E70" s="183"/>
      <c r="F70" s="185"/>
      <c r="G70" s="185"/>
      <c r="H70" s="185"/>
      <c r="I70" s="185"/>
      <c r="J70" s="193"/>
    </row>
    <row r="71" spans="1:10" s="22" customFormat="1" ht="22.2" thickBot="1" x14ac:dyDescent="0.35">
      <c r="A71" s="62">
        <v>18</v>
      </c>
      <c r="B71" s="191" t="s">
        <v>75</v>
      </c>
      <c r="C71" s="54"/>
      <c r="D71" s="196" t="s">
        <v>466</v>
      </c>
      <c r="E71" s="170" t="s">
        <v>399</v>
      </c>
      <c r="F71" s="70">
        <v>172000000</v>
      </c>
      <c r="G71" s="70">
        <v>0</v>
      </c>
      <c r="H71" s="70">
        <v>152190000</v>
      </c>
      <c r="I71" s="198">
        <f t="shared" ref="I71" si="23">F71-H71</f>
        <v>19810000</v>
      </c>
      <c r="J71" s="62" t="s">
        <v>339</v>
      </c>
    </row>
    <row r="72" spans="1:10" s="22" customFormat="1" ht="22.2" thickBot="1" x14ac:dyDescent="0.35">
      <c r="A72" s="71"/>
      <c r="B72" s="85"/>
      <c r="C72" s="94"/>
      <c r="D72" s="194"/>
      <c r="E72" s="85" t="s">
        <v>398</v>
      </c>
      <c r="F72" s="65">
        <f>SUM(F71)</f>
        <v>172000000</v>
      </c>
      <c r="G72" s="65">
        <f t="shared" ref="G72:I72" si="24">SUM(G71)</f>
        <v>0</v>
      </c>
      <c r="H72" s="65">
        <f t="shared" si="24"/>
        <v>152190000</v>
      </c>
      <c r="I72" s="65">
        <f t="shared" si="24"/>
        <v>19810000</v>
      </c>
      <c r="J72" s="189"/>
    </row>
    <row r="73" spans="1:10" s="22" customFormat="1" ht="6" customHeight="1" thickBot="1" x14ac:dyDescent="0.35">
      <c r="A73" s="68"/>
      <c r="B73" s="183"/>
      <c r="C73" s="91"/>
      <c r="D73" s="192"/>
      <c r="E73" s="183"/>
      <c r="F73" s="185"/>
      <c r="G73" s="185"/>
      <c r="H73" s="185"/>
      <c r="I73" s="185"/>
      <c r="J73" s="193"/>
    </row>
    <row r="74" spans="1:10" s="22" customFormat="1" ht="21" thickBot="1" x14ac:dyDescent="0.35">
      <c r="A74" s="62">
        <v>19</v>
      </c>
      <c r="B74" s="204" t="s">
        <v>27</v>
      </c>
      <c r="C74" s="54"/>
      <c r="D74" s="128" t="s">
        <v>286</v>
      </c>
      <c r="E74" s="170" t="s">
        <v>408</v>
      </c>
      <c r="F74" s="130">
        <v>44100000</v>
      </c>
      <c r="G74" s="70">
        <v>0</v>
      </c>
      <c r="H74" s="70">
        <v>29000000</v>
      </c>
      <c r="I74" s="198">
        <f t="shared" ref="I74" si="25">F74-H74</f>
        <v>15100000</v>
      </c>
      <c r="J74" s="62" t="s">
        <v>339</v>
      </c>
    </row>
    <row r="75" spans="1:10" s="22" customFormat="1" ht="24.75" customHeight="1" thickBot="1" x14ac:dyDescent="0.35">
      <c r="A75" s="71"/>
      <c r="B75" s="85"/>
      <c r="C75" s="94"/>
      <c r="D75" s="138"/>
      <c r="E75" s="88" t="s">
        <v>315</v>
      </c>
      <c r="F75" s="65">
        <f>SUM(F74)</f>
        <v>44100000</v>
      </c>
      <c r="G75" s="65">
        <f t="shared" ref="G75:I75" si="26">SUM(G74)</f>
        <v>0</v>
      </c>
      <c r="H75" s="65">
        <f t="shared" si="26"/>
        <v>29000000</v>
      </c>
      <c r="I75" s="65">
        <f t="shared" si="26"/>
        <v>15100000</v>
      </c>
      <c r="J75" s="189"/>
    </row>
    <row r="76" spans="1:10" s="22" customFormat="1" ht="6.75" customHeight="1" x14ac:dyDescent="0.3">
      <c r="A76" s="68"/>
      <c r="B76" s="183"/>
      <c r="C76" s="91"/>
      <c r="D76" s="153"/>
      <c r="E76" s="184"/>
      <c r="F76" s="185"/>
      <c r="G76" s="185"/>
      <c r="H76" s="185"/>
      <c r="I76" s="185"/>
      <c r="J76" s="193"/>
    </row>
    <row r="77" spans="1:10" s="22" customFormat="1" ht="30.6" x14ac:dyDescent="0.3">
      <c r="A77" s="61">
        <v>20</v>
      </c>
      <c r="B77" s="98" t="s">
        <v>616</v>
      </c>
      <c r="C77" s="43"/>
      <c r="D77" s="127" t="s">
        <v>621</v>
      </c>
      <c r="E77" s="122" t="s">
        <v>620</v>
      </c>
      <c r="F77" s="75">
        <v>50000000</v>
      </c>
      <c r="G77" s="343">
        <v>562000</v>
      </c>
      <c r="H77" s="63">
        <v>5000000</v>
      </c>
      <c r="I77" s="197">
        <f t="shared" ref="I77" si="27">F77-H77</f>
        <v>45000000</v>
      </c>
      <c r="J77" s="61" t="s">
        <v>339</v>
      </c>
    </row>
    <row r="78" spans="1:10" s="22" customFormat="1" ht="20.399999999999999" x14ac:dyDescent="0.3">
      <c r="A78" s="61"/>
      <c r="B78" s="98"/>
      <c r="C78" s="43"/>
      <c r="D78" s="127" t="s">
        <v>719</v>
      </c>
      <c r="E78" s="122" t="s">
        <v>717</v>
      </c>
      <c r="F78" s="63">
        <v>250000000</v>
      </c>
      <c r="G78" s="63">
        <v>0</v>
      </c>
      <c r="H78" s="63">
        <v>250000000</v>
      </c>
      <c r="I78" s="197">
        <f t="shared" ref="I78:I79" si="28">F78-H78</f>
        <v>0</v>
      </c>
      <c r="J78" s="61"/>
    </row>
    <row r="79" spans="1:10" s="22" customFormat="1" ht="21" thickBot="1" x14ac:dyDescent="0.35">
      <c r="A79" s="62"/>
      <c r="B79" s="97"/>
      <c r="C79" s="54"/>
      <c r="D79" s="128" t="s">
        <v>720</v>
      </c>
      <c r="E79" s="129" t="s">
        <v>718</v>
      </c>
      <c r="F79" s="70">
        <v>250000000</v>
      </c>
      <c r="G79" s="70">
        <v>0</v>
      </c>
      <c r="H79" s="70">
        <v>250000000</v>
      </c>
      <c r="I79" s="198">
        <f t="shared" si="28"/>
        <v>0</v>
      </c>
      <c r="J79" s="62"/>
    </row>
    <row r="80" spans="1:10" s="22" customFormat="1" ht="31.2" thickBot="1" x14ac:dyDescent="0.35">
      <c r="A80" s="71"/>
      <c r="B80" s="85"/>
      <c r="C80" s="94"/>
      <c r="D80" s="138"/>
      <c r="E80" s="88" t="s">
        <v>617</v>
      </c>
      <c r="F80" s="65">
        <f t="shared" ref="F80:H80" si="29">SUM(F77:F79)</f>
        <v>550000000</v>
      </c>
      <c r="G80" s="65">
        <f t="shared" si="29"/>
        <v>562000</v>
      </c>
      <c r="H80" s="65">
        <f t="shared" si="29"/>
        <v>505000000</v>
      </c>
      <c r="I80" s="65">
        <f>SUM(I77:I79)</f>
        <v>45000000</v>
      </c>
      <c r="J80" s="391"/>
    </row>
    <row r="81" spans="1:10" s="22" customFormat="1" ht="6" customHeight="1" x14ac:dyDescent="0.3">
      <c r="A81" s="68"/>
      <c r="B81" s="183"/>
      <c r="C81" s="91"/>
      <c r="D81" s="153"/>
      <c r="E81" s="184"/>
      <c r="F81" s="185"/>
      <c r="G81" s="185"/>
      <c r="H81" s="185"/>
      <c r="I81" s="185"/>
      <c r="J81" s="68"/>
    </row>
    <row r="82" spans="1:10" s="22" customFormat="1" ht="27" customHeight="1" x14ac:dyDescent="0.3">
      <c r="A82" s="61">
        <v>21</v>
      </c>
      <c r="B82" s="182" t="s">
        <v>703</v>
      </c>
      <c r="C82" s="91"/>
      <c r="D82" s="153" t="s">
        <v>729</v>
      </c>
      <c r="E82" s="122" t="s">
        <v>730</v>
      </c>
      <c r="F82" s="175">
        <v>600000000</v>
      </c>
      <c r="G82" s="175">
        <v>0</v>
      </c>
      <c r="H82" s="175">
        <v>600000000</v>
      </c>
      <c r="I82" s="197">
        <f t="shared" ref="I82:I86" si="30">F82-H82</f>
        <v>0</v>
      </c>
      <c r="J82" s="68"/>
    </row>
    <row r="83" spans="1:10" s="22" customFormat="1" ht="40.799999999999997" x14ac:dyDescent="0.3">
      <c r="A83" s="61"/>
      <c r="B83" s="182"/>
      <c r="C83" s="43"/>
      <c r="D83" s="61">
        <v>10021501182</v>
      </c>
      <c r="E83" s="122" t="s">
        <v>724</v>
      </c>
      <c r="F83" s="75">
        <v>100000000</v>
      </c>
      <c r="G83" s="75">
        <v>0</v>
      </c>
      <c r="H83" s="75">
        <v>100000000</v>
      </c>
      <c r="I83" s="197">
        <f t="shared" si="30"/>
        <v>0</v>
      </c>
      <c r="J83" s="61"/>
    </row>
    <row r="84" spans="1:10" s="22" customFormat="1" ht="40.799999999999997" x14ac:dyDescent="0.3">
      <c r="A84" s="61"/>
      <c r="B84" s="182"/>
      <c r="C84" s="43"/>
      <c r="D84" s="61">
        <v>10021501183</v>
      </c>
      <c r="E84" s="122" t="s">
        <v>725</v>
      </c>
      <c r="F84" s="75">
        <v>50000000</v>
      </c>
      <c r="G84" s="75">
        <v>0</v>
      </c>
      <c r="H84" s="75">
        <v>50000000</v>
      </c>
      <c r="I84" s="197">
        <f t="shared" si="30"/>
        <v>0</v>
      </c>
      <c r="J84" s="61"/>
    </row>
    <row r="85" spans="1:10" s="22" customFormat="1" ht="40.799999999999997" x14ac:dyDescent="0.3">
      <c r="A85" s="61"/>
      <c r="B85" s="182"/>
      <c r="C85" s="43"/>
      <c r="D85" s="61">
        <v>10021501184</v>
      </c>
      <c r="E85" s="122" t="s">
        <v>727</v>
      </c>
      <c r="F85" s="75">
        <v>50000000</v>
      </c>
      <c r="G85" s="75">
        <v>0</v>
      </c>
      <c r="H85" s="75">
        <v>50000000</v>
      </c>
      <c r="I85" s="197">
        <f t="shared" si="30"/>
        <v>0</v>
      </c>
      <c r="J85" s="61"/>
    </row>
    <row r="86" spans="1:10" s="22" customFormat="1" ht="41.4" thickBot="1" x14ac:dyDescent="0.35">
      <c r="A86" s="62"/>
      <c r="B86" s="191"/>
      <c r="C86" s="54"/>
      <c r="D86" s="62">
        <v>10021501185</v>
      </c>
      <c r="E86" s="129" t="s">
        <v>728</v>
      </c>
      <c r="F86" s="131">
        <v>100000000</v>
      </c>
      <c r="G86" s="131">
        <v>0</v>
      </c>
      <c r="H86" s="131">
        <v>100000000</v>
      </c>
      <c r="I86" s="198">
        <f t="shared" si="30"/>
        <v>0</v>
      </c>
      <c r="J86" s="62"/>
    </row>
    <row r="87" spans="1:10" s="22" customFormat="1" ht="22.2" thickBot="1" x14ac:dyDescent="0.35">
      <c r="A87" s="71"/>
      <c r="B87" s="85"/>
      <c r="C87" s="94"/>
      <c r="D87" s="138"/>
      <c r="E87" s="85" t="s">
        <v>726</v>
      </c>
      <c r="F87" s="65">
        <f t="shared" ref="F87:H87" si="31">SUM(F82:F86)</f>
        <v>900000000</v>
      </c>
      <c r="G87" s="65">
        <f t="shared" si="31"/>
        <v>0</v>
      </c>
      <c r="H87" s="65">
        <f t="shared" si="31"/>
        <v>900000000</v>
      </c>
      <c r="I87" s="65">
        <f>SUM(I82:I86)</f>
        <v>0</v>
      </c>
      <c r="J87" s="391"/>
    </row>
    <row r="88" spans="1:10" s="22" customFormat="1" ht="6" customHeight="1" x14ac:dyDescent="0.3">
      <c r="A88" s="68"/>
      <c r="B88" s="183"/>
      <c r="C88" s="91"/>
      <c r="D88" s="153"/>
      <c r="E88" s="183"/>
      <c r="F88" s="185"/>
      <c r="G88" s="185"/>
      <c r="H88" s="185"/>
      <c r="I88" s="185"/>
      <c r="J88" s="68"/>
    </row>
    <row r="89" spans="1:10" s="22" customFormat="1" ht="31.8" x14ac:dyDescent="0.3">
      <c r="A89" s="61">
        <v>22</v>
      </c>
      <c r="B89" s="182" t="s">
        <v>997</v>
      </c>
      <c r="C89" s="43"/>
      <c r="D89" s="127" t="s">
        <v>735</v>
      </c>
      <c r="E89" s="122" t="s">
        <v>734</v>
      </c>
      <c r="F89" s="63">
        <v>500000000</v>
      </c>
      <c r="G89" s="63">
        <v>0</v>
      </c>
      <c r="H89" s="63">
        <v>500000000</v>
      </c>
      <c r="I89" s="198">
        <f t="shared" ref="I89:I91" si="32">F89-H89</f>
        <v>0</v>
      </c>
      <c r="J89" s="61"/>
    </row>
    <row r="90" spans="1:10" s="22" customFormat="1" x14ac:dyDescent="0.3">
      <c r="A90" s="68"/>
      <c r="B90" s="183"/>
      <c r="C90" s="91"/>
      <c r="D90" s="153" t="s">
        <v>732</v>
      </c>
      <c r="E90" s="154" t="s">
        <v>733</v>
      </c>
      <c r="F90" s="175">
        <v>2000000000</v>
      </c>
      <c r="G90" s="175">
        <v>0</v>
      </c>
      <c r="H90" s="175">
        <v>2000000000</v>
      </c>
      <c r="I90" s="198">
        <f t="shared" si="32"/>
        <v>0</v>
      </c>
      <c r="J90" s="68"/>
    </row>
    <row r="91" spans="1:10" s="22" customFormat="1" ht="21" thickBot="1" x14ac:dyDescent="0.35">
      <c r="A91" s="62"/>
      <c r="B91" s="191"/>
      <c r="C91" s="54"/>
      <c r="D91" s="128" t="s">
        <v>737</v>
      </c>
      <c r="E91" s="129" t="s">
        <v>736</v>
      </c>
      <c r="F91" s="70">
        <v>500000000</v>
      </c>
      <c r="G91" s="70">
        <v>0</v>
      </c>
      <c r="H91" s="70">
        <v>450000000</v>
      </c>
      <c r="I91" s="198">
        <f t="shared" si="32"/>
        <v>50000000</v>
      </c>
      <c r="J91" s="62"/>
    </row>
    <row r="92" spans="1:10" s="22" customFormat="1" ht="32.4" thickBot="1" x14ac:dyDescent="0.35">
      <c r="A92" s="71"/>
      <c r="B92" s="85"/>
      <c r="C92" s="94"/>
      <c r="D92" s="138"/>
      <c r="E92" s="182" t="s">
        <v>998</v>
      </c>
      <c r="F92" s="65">
        <f t="shared" ref="F92" si="33">SUM(F87:F91)</f>
        <v>3900000000</v>
      </c>
      <c r="G92" s="65">
        <f t="shared" ref="G92" si="34">SUM(G87:G91)</f>
        <v>0</v>
      </c>
      <c r="H92" s="65">
        <f t="shared" ref="H92" si="35">SUM(H87:H91)</f>
        <v>3850000000</v>
      </c>
      <c r="I92" s="65">
        <f>SUM(I87:I91)</f>
        <v>50000000</v>
      </c>
      <c r="J92" s="391"/>
    </row>
    <row r="93" spans="1:10" s="22" customFormat="1" ht="6.75" customHeight="1" x14ac:dyDescent="0.3">
      <c r="A93" s="68"/>
      <c r="B93" s="183"/>
      <c r="C93" s="91"/>
      <c r="D93" s="153"/>
      <c r="E93" s="184"/>
      <c r="F93" s="185"/>
      <c r="G93" s="185"/>
      <c r="H93" s="185"/>
      <c r="I93" s="185"/>
      <c r="J93" s="68"/>
    </row>
    <row r="94" spans="1:10" s="22" customFormat="1" ht="15" thickBot="1" x14ac:dyDescent="0.35">
      <c r="A94" s="62">
        <v>23</v>
      </c>
      <c r="B94" s="191" t="s">
        <v>740</v>
      </c>
      <c r="C94" s="54"/>
      <c r="D94" s="128" t="s">
        <v>739</v>
      </c>
      <c r="E94" s="129" t="s">
        <v>738</v>
      </c>
      <c r="F94" s="390">
        <v>250000000</v>
      </c>
      <c r="G94" s="390">
        <v>0</v>
      </c>
      <c r="H94" s="390">
        <v>200000000</v>
      </c>
      <c r="I94" s="198">
        <f t="shared" ref="I94" si="36">F94-H94</f>
        <v>50000000</v>
      </c>
      <c r="J94" s="62"/>
    </row>
    <row r="95" spans="1:10" s="22" customFormat="1" ht="15" thickBot="1" x14ac:dyDescent="0.35">
      <c r="A95" s="71"/>
      <c r="B95" s="85"/>
      <c r="C95" s="94"/>
      <c r="D95" s="138"/>
      <c r="E95" s="85" t="s">
        <v>741</v>
      </c>
      <c r="F95" s="65">
        <f t="shared" ref="F95:H95" si="37">SUM(F94)</f>
        <v>250000000</v>
      </c>
      <c r="G95" s="65">
        <f t="shared" si="37"/>
        <v>0</v>
      </c>
      <c r="H95" s="65">
        <f t="shared" si="37"/>
        <v>200000000</v>
      </c>
      <c r="I95" s="65">
        <f>SUM(I94)</f>
        <v>50000000</v>
      </c>
      <c r="J95" s="391"/>
    </row>
    <row r="96" spans="1:10" s="22" customFormat="1" ht="6" customHeight="1" x14ac:dyDescent="0.3">
      <c r="A96" s="68"/>
      <c r="B96" s="183"/>
      <c r="C96" s="91"/>
      <c r="D96" s="153"/>
      <c r="E96" s="184"/>
      <c r="F96" s="185"/>
      <c r="G96" s="185"/>
      <c r="H96" s="185"/>
      <c r="I96" s="185"/>
      <c r="J96" s="68"/>
    </row>
    <row r="97" spans="1:10" s="22" customFormat="1" ht="31.8" x14ac:dyDescent="0.3">
      <c r="A97" s="61">
        <v>24</v>
      </c>
      <c r="B97" s="182" t="s">
        <v>1000</v>
      </c>
      <c r="C97" s="43"/>
      <c r="D97" s="127" t="s">
        <v>747</v>
      </c>
      <c r="E97" s="122" t="s">
        <v>745</v>
      </c>
      <c r="F97" s="176">
        <v>1500000000</v>
      </c>
      <c r="G97" s="176">
        <v>0</v>
      </c>
      <c r="H97" s="176">
        <v>1300000000</v>
      </c>
      <c r="I97" s="198">
        <f t="shared" ref="I97:I98" si="38">F97-H97</f>
        <v>200000000</v>
      </c>
      <c r="J97" s="61"/>
    </row>
    <row r="98" spans="1:10" s="22" customFormat="1" ht="15" thickBot="1" x14ac:dyDescent="0.35">
      <c r="A98" s="62"/>
      <c r="B98" s="191"/>
      <c r="C98" s="54"/>
      <c r="D98" s="128" t="s">
        <v>748</v>
      </c>
      <c r="E98" s="129" t="s">
        <v>746</v>
      </c>
      <c r="F98" s="390">
        <v>500000000</v>
      </c>
      <c r="G98" s="390">
        <v>0</v>
      </c>
      <c r="H98" s="390">
        <v>400000000</v>
      </c>
      <c r="I98" s="198">
        <f t="shared" si="38"/>
        <v>100000000</v>
      </c>
      <c r="J98" s="62"/>
    </row>
    <row r="99" spans="1:10" s="22" customFormat="1" ht="32.4" thickBot="1" x14ac:dyDescent="0.35">
      <c r="A99" s="71"/>
      <c r="B99" s="85"/>
      <c r="C99" s="94"/>
      <c r="D99" s="138"/>
      <c r="E99" s="85" t="s">
        <v>1001</v>
      </c>
      <c r="F99" s="65">
        <f t="shared" ref="F99:H99" si="39">SUM(F97:F98)</f>
        <v>2000000000</v>
      </c>
      <c r="G99" s="65">
        <f t="shared" si="39"/>
        <v>0</v>
      </c>
      <c r="H99" s="65">
        <f t="shared" si="39"/>
        <v>1700000000</v>
      </c>
      <c r="I99" s="65">
        <f>SUM(I97:I98)</f>
        <v>300000000</v>
      </c>
      <c r="J99" s="391"/>
    </row>
    <row r="100" spans="1:10" s="22" customFormat="1" x14ac:dyDescent="0.3">
      <c r="A100" s="68"/>
      <c r="B100" s="183"/>
      <c r="C100" s="91"/>
      <c r="D100" s="153"/>
      <c r="E100" s="184"/>
      <c r="F100" s="185"/>
      <c r="G100" s="185"/>
      <c r="H100" s="185"/>
      <c r="I100" s="185"/>
      <c r="J100" s="68"/>
    </row>
    <row r="101" spans="1:10" s="22" customFormat="1" ht="20.399999999999999" x14ac:dyDescent="0.3">
      <c r="A101" s="61">
        <v>25</v>
      </c>
      <c r="B101" s="98" t="s">
        <v>1002</v>
      </c>
      <c r="C101" s="43"/>
      <c r="D101" s="127" t="s">
        <v>752</v>
      </c>
      <c r="E101" s="122" t="s">
        <v>750</v>
      </c>
      <c r="F101" s="123">
        <v>5445000000</v>
      </c>
      <c r="G101" s="63">
        <v>0</v>
      </c>
      <c r="H101" s="63">
        <v>5445000000</v>
      </c>
      <c r="I101" s="198">
        <f t="shared" ref="I101:I102" si="40">F101-H101</f>
        <v>0</v>
      </c>
      <c r="J101" s="61"/>
    </row>
    <row r="102" spans="1:10" s="22" customFormat="1" ht="21" thickBot="1" x14ac:dyDescent="0.35">
      <c r="A102" s="62"/>
      <c r="B102" s="191"/>
      <c r="C102" s="54"/>
      <c r="D102" s="128" t="s">
        <v>753</v>
      </c>
      <c r="E102" s="129" t="s">
        <v>751</v>
      </c>
      <c r="F102" s="240">
        <v>816750000</v>
      </c>
      <c r="G102" s="70">
        <v>0</v>
      </c>
      <c r="H102" s="70">
        <v>816750000</v>
      </c>
      <c r="I102" s="198">
        <f t="shared" si="40"/>
        <v>0</v>
      </c>
      <c r="J102" s="62"/>
    </row>
    <row r="103" spans="1:10" s="22" customFormat="1" ht="21" thickBot="1" x14ac:dyDescent="0.35">
      <c r="A103" s="71"/>
      <c r="B103" s="85"/>
      <c r="C103" s="94"/>
      <c r="D103" s="138"/>
      <c r="E103" s="98" t="s">
        <v>1003</v>
      </c>
      <c r="F103" s="65">
        <f>SUM(F101:F102)</f>
        <v>6261750000</v>
      </c>
      <c r="G103" s="65">
        <f t="shared" ref="G103:I103" si="41">SUM(G101:G102)</f>
        <v>0</v>
      </c>
      <c r="H103" s="65">
        <f t="shared" si="41"/>
        <v>6261750000</v>
      </c>
      <c r="I103" s="65">
        <f t="shared" si="41"/>
        <v>0</v>
      </c>
      <c r="J103" s="391"/>
    </row>
    <row r="104" spans="1:10" s="22" customFormat="1" ht="6" customHeight="1" x14ac:dyDescent="0.3">
      <c r="A104" s="68"/>
      <c r="B104" s="183"/>
      <c r="C104" s="91"/>
      <c r="D104" s="153"/>
      <c r="E104" s="184"/>
      <c r="F104" s="185"/>
      <c r="G104" s="185"/>
      <c r="H104" s="185"/>
      <c r="I104" s="185"/>
      <c r="J104" s="68"/>
    </row>
    <row r="105" spans="1:10" s="22" customFormat="1" ht="15" thickBot="1" x14ac:dyDescent="0.35">
      <c r="A105" s="68">
        <v>26</v>
      </c>
      <c r="B105" s="443" t="s">
        <v>1004</v>
      </c>
      <c r="C105" s="91"/>
      <c r="D105" s="153" t="s">
        <v>756</v>
      </c>
      <c r="E105" s="122" t="s">
        <v>754</v>
      </c>
      <c r="F105" s="123">
        <v>2500000000</v>
      </c>
      <c r="G105" s="185">
        <v>0</v>
      </c>
      <c r="H105" s="175">
        <v>1400000000</v>
      </c>
      <c r="I105" s="197">
        <f t="shared" ref="I105:I106" si="42">F105-H105</f>
        <v>1100000000</v>
      </c>
      <c r="J105" s="68"/>
    </row>
    <row r="106" spans="1:10" s="22" customFormat="1" ht="15" thickBot="1" x14ac:dyDescent="0.35">
      <c r="A106" s="172"/>
      <c r="B106" s="181"/>
      <c r="C106" s="180"/>
      <c r="D106" s="133" t="s">
        <v>757</v>
      </c>
      <c r="E106" s="129" t="s">
        <v>755</v>
      </c>
      <c r="F106" s="240">
        <v>300000000</v>
      </c>
      <c r="G106" s="420">
        <v>0</v>
      </c>
      <c r="H106" s="171">
        <v>100000000</v>
      </c>
      <c r="I106" s="198">
        <f t="shared" si="42"/>
        <v>200000000</v>
      </c>
      <c r="J106" s="172"/>
    </row>
    <row r="107" spans="1:10" s="22" customFormat="1" ht="15" thickBot="1" x14ac:dyDescent="0.35">
      <c r="A107" s="71"/>
      <c r="B107" s="85"/>
      <c r="C107" s="94"/>
      <c r="D107" s="138"/>
      <c r="E107" s="88"/>
      <c r="F107" s="65">
        <f t="shared" ref="F107:H107" si="43">SUM(F105:F106)</f>
        <v>2800000000</v>
      </c>
      <c r="G107" s="65">
        <f t="shared" si="43"/>
        <v>0</v>
      </c>
      <c r="H107" s="65">
        <f t="shared" si="43"/>
        <v>1500000000</v>
      </c>
      <c r="I107" s="65">
        <f>SUM(I105:I106)</f>
        <v>1300000000</v>
      </c>
      <c r="J107" s="391"/>
    </row>
    <row r="108" spans="1:10" s="21" customFormat="1" ht="24.75" customHeight="1" thickBot="1" x14ac:dyDescent="0.35">
      <c r="A108" s="410"/>
      <c r="B108" s="411"/>
      <c r="C108" s="412"/>
      <c r="D108" s="413"/>
      <c r="E108" s="414" t="s">
        <v>36</v>
      </c>
      <c r="F108" s="422">
        <f>F69+F66+F62+F57+F55+F52+F48+F44+F41+F38+F35+F32+F28+F17+F13+F10+F7+F72+F75+F80+F87+F92+F107+F103+F99+F95</f>
        <v>26282628000</v>
      </c>
      <c r="G108" s="422">
        <f>G69+G66+G62+G57+G55+G52+G48+G44+G41+G38+G35+G32+G28+G17+G13+G10+G7+G72+G75+G80+G87+G92+G107+G103+G99+G95</f>
        <v>154216711</v>
      </c>
      <c r="H108" s="422">
        <f>H69+H66+H62+H57+H55+H52+H48+H44+H41+H38+H35+H32+H28+H17+H13+H10+H7+H72+H75+H80+H87+H92+H107+H103+H99+H95</f>
        <v>19231340000</v>
      </c>
      <c r="I108" s="422">
        <f>I69+I66+I62+I57+I55+I52+I48+I44+I41+I38+I35+I32+I28+I17+I13+I10+I7+I72+I75+I80+I87+I92+I107+I103+I99+I95</f>
        <v>7051288000</v>
      </c>
      <c r="J108" s="415"/>
    </row>
    <row r="109" spans="1:10" s="21" customFormat="1" ht="18.75" customHeight="1" x14ac:dyDescent="0.3">
      <c r="B109" s="29"/>
      <c r="D109" s="26"/>
      <c r="E109" s="27"/>
      <c r="F109" s="24"/>
      <c r="G109" s="24"/>
      <c r="H109" s="24"/>
      <c r="I109" s="24"/>
    </row>
    <row r="110" spans="1:10" s="21" customFormat="1" ht="46.5" customHeight="1" x14ac:dyDescent="0.3">
      <c r="J110" s="66"/>
    </row>
    <row r="111" spans="1:10" s="21" customFormat="1" ht="39.75" customHeight="1" x14ac:dyDescent="0.3">
      <c r="J111" s="66"/>
    </row>
    <row r="112" spans="1:10" s="21" customFormat="1" ht="18.899999999999999" customHeight="1" x14ac:dyDescent="0.3">
      <c r="D112" s="26"/>
      <c r="E112" s="28"/>
      <c r="F112" s="24"/>
      <c r="G112" s="24"/>
      <c r="H112" s="24"/>
      <c r="I112" s="24"/>
    </row>
    <row r="113" spans="4:9" s="21" customFormat="1" ht="18.899999999999999" customHeight="1" x14ac:dyDescent="0.3">
      <c r="D113" s="26"/>
      <c r="E113" s="28"/>
      <c r="F113" s="24"/>
      <c r="G113" s="24"/>
      <c r="H113" s="24"/>
      <c r="I113" s="24"/>
    </row>
    <row r="114" spans="4:9" s="21" customFormat="1" ht="18.899999999999999" customHeight="1" x14ac:dyDescent="0.3">
      <c r="D114" s="26"/>
      <c r="E114" s="27"/>
      <c r="F114" s="24"/>
      <c r="G114" s="24"/>
      <c r="H114" s="24"/>
      <c r="I114" s="24"/>
    </row>
    <row r="115" spans="4:9" s="21" customFormat="1" ht="18.899999999999999" customHeight="1" x14ac:dyDescent="0.3">
      <c r="D115" s="26"/>
      <c r="E115" s="27"/>
      <c r="F115" s="24"/>
      <c r="G115" s="24"/>
      <c r="H115" s="24"/>
      <c r="I115" s="24"/>
    </row>
  </sheetData>
  <mergeCells count="4">
    <mergeCell ref="A1:J1"/>
    <mergeCell ref="A2:J2"/>
    <mergeCell ref="A3:J3"/>
    <mergeCell ref="A4:J4"/>
  </mergeCells>
  <conditionalFormatting sqref="E9 B77:B79 E77:E79 E107 B30:B31">
    <cfRule type="expression" dxfId="775" priority="649">
      <formula>$O9=9</formula>
    </cfRule>
    <cfRule type="expression" dxfId="774" priority="650">
      <formula>$O9=7</formula>
    </cfRule>
    <cfRule type="expression" dxfId="773" priority="651">
      <formula>$O9=6</formula>
    </cfRule>
    <cfRule type="expression" dxfId="772" priority="652">
      <formula>$O9=5</formula>
    </cfRule>
    <cfRule type="expression" dxfId="771" priority="653">
      <formula>$O9=4</formula>
    </cfRule>
    <cfRule type="expression" dxfId="770" priority="654">
      <formula>$O9=3</formula>
    </cfRule>
    <cfRule type="expression" dxfId="769" priority="655">
      <formula>$O9=2</formula>
    </cfRule>
    <cfRule type="expression" dxfId="768" priority="656">
      <formula>$O9=1</formula>
    </cfRule>
  </conditionalFormatting>
  <conditionalFormatting sqref="E12">
    <cfRule type="expression" dxfId="767" priority="641">
      <formula>$O12=9</formula>
    </cfRule>
    <cfRule type="expression" dxfId="766" priority="642">
      <formula>$O12=7</formula>
    </cfRule>
    <cfRule type="expression" dxfId="765" priority="643">
      <formula>$O12=6</formula>
    </cfRule>
    <cfRule type="expression" dxfId="764" priority="644">
      <formula>$O12=5</formula>
    </cfRule>
    <cfRule type="expression" dxfId="763" priority="645">
      <formula>$O12=4</formula>
    </cfRule>
    <cfRule type="expression" dxfId="762" priority="646">
      <formula>$O12=3</formula>
    </cfRule>
    <cfRule type="expression" dxfId="761" priority="647">
      <formula>$O12=2</formula>
    </cfRule>
    <cfRule type="expression" dxfId="760" priority="648">
      <formula>$O12=1</formula>
    </cfRule>
  </conditionalFormatting>
  <conditionalFormatting sqref="E15">
    <cfRule type="expression" dxfId="759" priority="617">
      <formula>$O15=9</formula>
    </cfRule>
    <cfRule type="expression" dxfId="758" priority="618">
      <formula>$O15=7</formula>
    </cfRule>
    <cfRule type="expression" dxfId="757" priority="619">
      <formula>$O15=6</formula>
    </cfRule>
    <cfRule type="expression" dxfId="756" priority="620">
      <formula>$O15=5</formula>
    </cfRule>
    <cfRule type="expression" dxfId="755" priority="621">
      <formula>$O15=4</formula>
    </cfRule>
    <cfRule type="expression" dxfId="754" priority="622">
      <formula>$O15=3</formula>
    </cfRule>
    <cfRule type="expression" dxfId="753" priority="623">
      <formula>$O15=2</formula>
    </cfRule>
    <cfRule type="expression" dxfId="752" priority="624">
      <formula>$O15=1</formula>
    </cfRule>
  </conditionalFormatting>
  <conditionalFormatting sqref="E16">
    <cfRule type="expression" dxfId="751" priority="609">
      <formula>$O16=9</formula>
    </cfRule>
    <cfRule type="expression" dxfId="750" priority="610">
      <formula>$O16=7</formula>
    </cfRule>
    <cfRule type="expression" dxfId="749" priority="611">
      <formula>$O16=6</formula>
    </cfRule>
    <cfRule type="expression" dxfId="748" priority="612">
      <formula>$O16=5</formula>
    </cfRule>
    <cfRule type="expression" dxfId="747" priority="613">
      <formula>$O16=4</formula>
    </cfRule>
    <cfRule type="expression" dxfId="746" priority="614">
      <formula>$O16=3</formula>
    </cfRule>
    <cfRule type="expression" dxfId="745" priority="615">
      <formula>$O16=2</formula>
    </cfRule>
    <cfRule type="expression" dxfId="744" priority="616">
      <formula>$O16=1</formula>
    </cfRule>
  </conditionalFormatting>
  <conditionalFormatting sqref="E20">
    <cfRule type="expression" dxfId="743" priority="601">
      <formula>$O20=9</formula>
    </cfRule>
    <cfRule type="expression" dxfId="742" priority="602">
      <formula>$O20=7</formula>
    </cfRule>
    <cfRule type="expression" dxfId="741" priority="603">
      <formula>$O20=6</formula>
    </cfRule>
    <cfRule type="expression" dxfId="740" priority="604">
      <formula>$O20=5</formula>
    </cfRule>
    <cfRule type="expression" dxfId="739" priority="605">
      <formula>$O20=4</formula>
    </cfRule>
    <cfRule type="expression" dxfId="738" priority="606">
      <formula>$O20=3</formula>
    </cfRule>
    <cfRule type="expression" dxfId="737" priority="607">
      <formula>$O20=2</formula>
    </cfRule>
    <cfRule type="expression" dxfId="736" priority="608">
      <formula>$O20=1</formula>
    </cfRule>
  </conditionalFormatting>
  <conditionalFormatting sqref="E21">
    <cfRule type="expression" dxfId="735" priority="593">
      <formula>$O21=9</formula>
    </cfRule>
    <cfRule type="expression" dxfId="734" priority="594">
      <formula>$O21=7</formula>
    </cfRule>
    <cfRule type="expression" dxfId="733" priority="595">
      <formula>$O21=6</formula>
    </cfRule>
    <cfRule type="expression" dxfId="732" priority="596">
      <formula>$O21=5</formula>
    </cfRule>
    <cfRule type="expression" dxfId="731" priority="597">
      <formula>$O21=4</formula>
    </cfRule>
    <cfRule type="expression" dxfId="730" priority="598">
      <formula>$O21=3</formula>
    </cfRule>
    <cfRule type="expression" dxfId="729" priority="599">
      <formula>$O21=2</formula>
    </cfRule>
    <cfRule type="expression" dxfId="728" priority="600">
      <formula>$O21=1</formula>
    </cfRule>
  </conditionalFormatting>
  <conditionalFormatting sqref="E32">
    <cfRule type="expression" dxfId="727" priority="577">
      <formula>$O32=9</formula>
    </cfRule>
    <cfRule type="expression" dxfId="726" priority="578">
      <formula>$O32=7</formula>
    </cfRule>
    <cfRule type="expression" dxfId="725" priority="579">
      <formula>$O32=6</formula>
    </cfRule>
    <cfRule type="expression" dxfId="724" priority="580">
      <formula>$O32=5</formula>
    </cfRule>
    <cfRule type="expression" dxfId="723" priority="581">
      <formula>$O32=4</formula>
    </cfRule>
    <cfRule type="expression" dxfId="722" priority="582">
      <formula>$O32=3</formula>
    </cfRule>
    <cfRule type="expression" dxfId="721" priority="583">
      <formula>$O32=2</formula>
    </cfRule>
    <cfRule type="expression" dxfId="720" priority="584">
      <formula>$O32=1</formula>
    </cfRule>
  </conditionalFormatting>
  <conditionalFormatting sqref="E30">
    <cfRule type="expression" dxfId="719" priority="569">
      <formula>$O30=9</formula>
    </cfRule>
    <cfRule type="expression" dxfId="718" priority="570">
      <formula>$O30=7</formula>
    </cfRule>
    <cfRule type="expression" dxfId="717" priority="571">
      <formula>$O30=6</formula>
    </cfRule>
    <cfRule type="expression" dxfId="716" priority="572">
      <formula>$O30=5</formula>
    </cfRule>
    <cfRule type="expression" dxfId="715" priority="573">
      <formula>$O30=4</formula>
    </cfRule>
    <cfRule type="expression" dxfId="714" priority="574">
      <formula>$O30=3</formula>
    </cfRule>
    <cfRule type="expression" dxfId="713" priority="575">
      <formula>$O30=2</formula>
    </cfRule>
    <cfRule type="expression" dxfId="712" priority="576">
      <formula>$O30=1</formula>
    </cfRule>
  </conditionalFormatting>
  <conditionalFormatting sqref="E34">
    <cfRule type="expression" dxfId="711" priority="545">
      <formula>$O34=9</formula>
    </cfRule>
    <cfRule type="expression" dxfId="710" priority="546">
      <formula>$O34=7</formula>
    </cfRule>
    <cfRule type="expression" dxfId="709" priority="547">
      <formula>$O34=6</formula>
    </cfRule>
    <cfRule type="expression" dxfId="708" priority="548">
      <formula>$O34=5</formula>
    </cfRule>
    <cfRule type="expression" dxfId="707" priority="549">
      <formula>$O34=4</formula>
    </cfRule>
    <cfRule type="expression" dxfId="706" priority="550">
      <formula>$O34=3</formula>
    </cfRule>
    <cfRule type="expression" dxfId="705" priority="551">
      <formula>$O34=2</formula>
    </cfRule>
    <cfRule type="expression" dxfId="704" priority="552">
      <formula>$O34=1</formula>
    </cfRule>
  </conditionalFormatting>
  <conditionalFormatting sqref="E37">
    <cfRule type="expression" dxfId="703" priority="537">
      <formula>$O37=9</formula>
    </cfRule>
    <cfRule type="expression" dxfId="702" priority="538">
      <formula>$O37=7</formula>
    </cfRule>
    <cfRule type="expression" dxfId="701" priority="539">
      <formula>$O37=6</formula>
    </cfRule>
    <cfRule type="expression" dxfId="700" priority="540">
      <formula>$O37=5</formula>
    </cfRule>
    <cfRule type="expression" dxfId="699" priority="541">
      <formula>$O37=4</formula>
    </cfRule>
    <cfRule type="expression" dxfId="698" priority="542">
      <formula>$O37=3</formula>
    </cfRule>
    <cfRule type="expression" dxfId="697" priority="543">
      <formula>$O37=2</formula>
    </cfRule>
    <cfRule type="expression" dxfId="696" priority="544">
      <formula>$O37=1</formula>
    </cfRule>
  </conditionalFormatting>
  <conditionalFormatting sqref="E40">
    <cfRule type="expression" dxfId="695" priority="529">
      <formula>$O40=9</formula>
    </cfRule>
    <cfRule type="expression" dxfId="694" priority="530">
      <formula>$O40=7</formula>
    </cfRule>
    <cfRule type="expression" dxfId="693" priority="531">
      <formula>$O40=6</formula>
    </cfRule>
    <cfRule type="expression" dxfId="692" priority="532">
      <formula>$O40=5</formula>
    </cfRule>
    <cfRule type="expression" dxfId="691" priority="533">
      <formula>$O40=4</formula>
    </cfRule>
    <cfRule type="expression" dxfId="690" priority="534">
      <formula>$O40=3</formula>
    </cfRule>
    <cfRule type="expression" dxfId="689" priority="535">
      <formula>$O40=2</formula>
    </cfRule>
    <cfRule type="expression" dxfId="688" priority="536">
      <formula>$O40=1</formula>
    </cfRule>
  </conditionalFormatting>
  <conditionalFormatting sqref="E43">
    <cfRule type="expression" dxfId="687" priority="513">
      <formula>$O43=9</formula>
    </cfRule>
    <cfRule type="expression" dxfId="686" priority="514">
      <formula>$O43=7</formula>
    </cfRule>
    <cfRule type="expression" dxfId="685" priority="515">
      <formula>$O43=6</formula>
    </cfRule>
    <cfRule type="expression" dxfId="684" priority="516">
      <formula>$O43=5</formula>
    </cfRule>
    <cfRule type="expression" dxfId="683" priority="517">
      <formula>$O43=4</formula>
    </cfRule>
    <cfRule type="expression" dxfId="682" priority="518">
      <formula>$O43=3</formula>
    </cfRule>
    <cfRule type="expression" dxfId="681" priority="519">
      <formula>$O43=2</formula>
    </cfRule>
    <cfRule type="expression" dxfId="680" priority="520">
      <formula>$O43=1</formula>
    </cfRule>
  </conditionalFormatting>
  <conditionalFormatting sqref="E46">
    <cfRule type="expression" dxfId="679" priority="505">
      <formula>$O46=9</formula>
    </cfRule>
    <cfRule type="expression" dxfId="678" priority="506">
      <formula>$O46=7</formula>
    </cfRule>
    <cfRule type="expression" dxfId="677" priority="507">
      <formula>$O46=6</formula>
    </cfRule>
    <cfRule type="expression" dxfId="676" priority="508">
      <formula>$O46=5</formula>
    </cfRule>
    <cfRule type="expression" dxfId="675" priority="509">
      <formula>$O46=4</formula>
    </cfRule>
    <cfRule type="expression" dxfId="674" priority="510">
      <formula>$O46=3</formula>
    </cfRule>
    <cfRule type="expression" dxfId="673" priority="511">
      <formula>$O46=2</formula>
    </cfRule>
    <cfRule type="expression" dxfId="672" priority="512">
      <formula>$O46=1</formula>
    </cfRule>
  </conditionalFormatting>
  <conditionalFormatting sqref="E47">
    <cfRule type="expression" dxfId="671" priority="497">
      <formula>$O47=9</formula>
    </cfRule>
    <cfRule type="expression" dxfId="670" priority="498">
      <formula>$O47=7</formula>
    </cfRule>
    <cfRule type="expression" dxfId="669" priority="499">
      <formula>$O47=6</formula>
    </cfRule>
    <cfRule type="expression" dxfId="668" priority="500">
      <formula>$O47=5</formula>
    </cfRule>
    <cfRule type="expression" dxfId="667" priority="501">
      <formula>$O47=4</formula>
    </cfRule>
    <cfRule type="expression" dxfId="666" priority="502">
      <formula>$O47=3</formula>
    </cfRule>
    <cfRule type="expression" dxfId="665" priority="503">
      <formula>$O47=2</formula>
    </cfRule>
    <cfRule type="expression" dxfId="664" priority="504">
      <formula>$O47=1</formula>
    </cfRule>
  </conditionalFormatting>
  <conditionalFormatting sqref="E50">
    <cfRule type="expression" dxfId="663" priority="489">
      <formula>$O50=9</formula>
    </cfRule>
    <cfRule type="expression" dxfId="662" priority="490">
      <formula>$O50=7</formula>
    </cfRule>
    <cfRule type="expression" dxfId="661" priority="491">
      <formula>$O50=6</formula>
    </cfRule>
    <cfRule type="expression" dxfId="660" priority="492">
      <formula>$O50=5</formula>
    </cfRule>
    <cfRule type="expression" dxfId="659" priority="493">
      <formula>$O50=4</formula>
    </cfRule>
    <cfRule type="expression" dxfId="658" priority="494">
      <formula>$O50=3</formula>
    </cfRule>
    <cfRule type="expression" dxfId="657" priority="495">
      <formula>$O50=2</formula>
    </cfRule>
    <cfRule type="expression" dxfId="656" priority="496">
      <formula>$O50=1</formula>
    </cfRule>
  </conditionalFormatting>
  <conditionalFormatting sqref="E51">
    <cfRule type="expression" dxfId="655" priority="481">
      <formula>$O51=9</formula>
    </cfRule>
    <cfRule type="expression" dxfId="654" priority="482">
      <formula>$O51=7</formula>
    </cfRule>
    <cfRule type="expression" dxfId="653" priority="483">
      <formula>$O51=6</formula>
    </cfRule>
    <cfRule type="expression" dxfId="652" priority="484">
      <formula>$O51=5</formula>
    </cfRule>
    <cfRule type="expression" dxfId="651" priority="485">
      <formula>$O51=4</formula>
    </cfRule>
    <cfRule type="expression" dxfId="650" priority="486">
      <formula>$O51=3</formula>
    </cfRule>
    <cfRule type="expression" dxfId="649" priority="487">
      <formula>$O51=2</formula>
    </cfRule>
    <cfRule type="expression" dxfId="648" priority="488">
      <formula>$O51=1</formula>
    </cfRule>
  </conditionalFormatting>
  <conditionalFormatting sqref="E54">
    <cfRule type="expression" dxfId="647" priority="473">
      <formula>$O54=9</formula>
    </cfRule>
    <cfRule type="expression" dxfId="646" priority="474">
      <formula>$O54=7</formula>
    </cfRule>
    <cfRule type="expression" dxfId="645" priority="475">
      <formula>$O54=6</formula>
    </cfRule>
    <cfRule type="expression" dxfId="644" priority="476">
      <formula>$O54=5</formula>
    </cfRule>
    <cfRule type="expression" dxfId="643" priority="477">
      <formula>$O54=4</formula>
    </cfRule>
    <cfRule type="expression" dxfId="642" priority="478">
      <formula>$O54=3</formula>
    </cfRule>
    <cfRule type="expression" dxfId="641" priority="479">
      <formula>$O54=2</formula>
    </cfRule>
    <cfRule type="expression" dxfId="640" priority="480">
      <formula>$O54=1</formula>
    </cfRule>
  </conditionalFormatting>
  <conditionalFormatting sqref="E56">
    <cfRule type="expression" dxfId="639" priority="465">
      <formula>$O56=9</formula>
    </cfRule>
    <cfRule type="expression" dxfId="638" priority="466">
      <formula>$O56=7</formula>
    </cfRule>
    <cfRule type="expression" dxfId="637" priority="467">
      <formula>$O56=6</formula>
    </cfRule>
    <cfRule type="expression" dxfId="636" priority="468">
      <formula>$O56=5</formula>
    </cfRule>
    <cfRule type="expression" dxfId="635" priority="469">
      <formula>$O56=4</formula>
    </cfRule>
    <cfRule type="expression" dxfId="634" priority="470">
      <formula>$O56=3</formula>
    </cfRule>
    <cfRule type="expression" dxfId="633" priority="471">
      <formula>$O56=2</formula>
    </cfRule>
    <cfRule type="expression" dxfId="632" priority="472">
      <formula>$O56=1</formula>
    </cfRule>
  </conditionalFormatting>
  <conditionalFormatting sqref="E59">
    <cfRule type="expression" dxfId="631" priority="457">
      <formula>$O59=9</formula>
    </cfRule>
    <cfRule type="expression" dxfId="630" priority="458">
      <formula>$O59=7</formula>
    </cfRule>
    <cfRule type="expression" dxfId="629" priority="459">
      <formula>$O59=6</formula>
    </cfRule>
    <cfRule type="expression" dxfId="628" priority="460">
      <formula>$O59=5</formula>
    </cfRule>
    <cfRule type="expression" dxfId="627" priority="461">
      <formula>$O59=4</formula>
    </cfRule>
    <cfRule type="expression" dxfId="626" priority="462">
      <formula>$O59=3</formula>
    </cfRule>
    <cfRule type="expression" dxfId="625" priority="463">
      <formula>$O59=2</formula>
    </cfRule>
    <cfRule type="expression" dxfId="624" priority="464">
      <formula>$O59=1</formula>
    </cfRule>
  </conditionalFormatting>
  <conditionalFormatting sqref="E60">
    <cfRule type="expression" dxfId="623" priority="449">
      <formula>$O60=9</formula>
    </cfRule>
    <cfRule type="expression" dxfId="622" priority="450">
      <formula>$O60=7</formula>
    </cfRule>
    <cfRule type="expression" dxfId="621" priority="451">
      <formula>$O60=6</formula>
    </cfRule>
    <cfRule type="expression" dxfId="620" priority="452">
      <formula>$O60=5</formula>
    </cfRule>
    <cfRule type="expression" dxfId="619" priority="453">
      <formula>$O60=4</formula>
    </cfRule>
    <cfRule type="expression" dxfId="618" priority="454">
      <formula>$O60=3</formula>
    </cfRule>
    <cfRule type="expression" dxfId="617" priority="455">
      <formula>$O60=2</formula>
    </cfRule>
    <cfRule type="expression" dxfId="616" priority="456">
      <formula>$O60=1</formula>
    </cfRule>
  </conditionalFormatting>
  <conditionalFormatting sqref="E61">
    <cfRule type="expression" dxfId="615" priority="441">
      <formula>$O61=9</formula>
    </cfRule>
    <cfRule type="expression" dxfId="614" priority="442">
      <formula>$O61=7</formula>
    </cfRule>
    <cfRule type="expression" dxfId="613" priority="443">
      <formula>$O61=6</formula>
    </cfRule>
    <cfRule type="expression" dxfId="612" priority="444">
      <formula>$O61=5</formula>
    </cfRule>
    <cfRule type="expression" dxfId="611" priority="445">
      <formula>$O61=4</formula>
    </cfRule>
    <cfRule type="expression" dxfId="610" priority="446">
      <formula>$O61=3</formula>
    </cfRule>
    <cfRule type="expression" dxfId="609" priority="447">
      <formula>$O61=2</formula>
    </cfRule>
    <cfRule type="expression" dxfId="608" priority="448">
      <formula>$O61=1</formula>
    </cfRule>
  </conditionalFormatting>
  <conditionalFormatting sqref="E64">
    <cfRule type="expression" dxfId="607" priority="433">
      <formula>$O64=9</formula>
    </cfRule>
    <cfRule type="expression" dxfId="606" priority="434">
      <formula>$O64=7</formula>
    </cfRule>
    <cfRule type="expression" dxfId="605" priority="435">
      <formula>$O64=6</formula>
    </cfRule>
    <cfRule type="expression" dxfId="604" priority="436">
      <formula>$O64=5</formula>
    </cfRule>
    <cfRule type="expression" dxfId="603" priority="437">
      <formula>$O64=4</formula>
    </cfRule>
    <cfRule type="expression" dxfId="602" priority="438">
      <formula>$O64=3</formula>
    </cfRule>
    <cfRule type="expression" dxfId="601" priority="439">
      <formula>$O64=2</formula>
    </cfRule>
    <cfRule type="expression" dxfId="600" priority="440">
      <formula>$O64=1</formula>
    </cfRule>
  </conditionalFormatting>
  <conditionalFormatting sqref="E65">
    <cfRule type="expression" dxfId="599" priority="425">
      <formula>$O65=9</formula>
    </cfRule>
    <cfRule type="expression" dxfId="598" priority="426">
      <formula>$O65=7</formula>
    </cfRule>
    <cfRule type="expression" dxfId="597" priority="427">
      <formula>$O65=6</formula>
    </cfRule>
    <cfRule type="expression" dxfId="596" priority="428">
      <formula>$O65=5</formula>
    </cfRule>
    <cfRule type="expression" dxfId="595" priority="429">
      <formula>$O65=4</formula>
    </cfRule>
    <cfRule type="expression" dxfId="594" priority="430">
      <formula>$O65=3</formula>
    </cfRule>
    <cfRule type="expression" dxfId="593" priority="431">
      <formula>$O65=2</formula>
    </cfRule>
    <cfRule type="expression" dxfId="592" priority="432">
      <formula>$O65=1</formula>
    </cfRule>
  </conditionalFormatting>
  <conditionalFormatting sqref="E68">
    <cfRule type="expression" dxfId="591" priority="417">
      <formula>$O68=9</formula>
    </cfRule>
    <cfRule type="expression" dxfId="590" priority="418">
      <formula>$O68=7</formula>
    </cfRule>
    <cfRule type="expression" dxfId="589" priority="419">
      <formula>$O68=6</formula>
    </cfRule>
    <cfRule type="expression" dxfId="588" priority="420">
      <formula>$O68=5</formula>
    </cfRule>
    <cfRule type="expression" dxfId="587" priority="421">
      <formula>$O68=4</formula>
    </cfRule>
    <cfRule type="expression" dxfId="586" priority="422">
      <formula>$O68=3</formula>
    </cfRule>
    <cfRule type="expression" dxfId="585" priority="423">
      <formula>$O68=2</formula>
    </cfRule>
    <cfRule type="expression" dxfId="584" priority="424">
      <formula>$O68=1</formula>
    </cfRule>
  </conditionalFormatting>
  <conditionalFormatting sqref="E74">
    <cfRule type="expression" dxfId="583" priority="377">
      <formula>$O74=9</formula>
    </cfRule>
    <cfRule type="expression" dxfId="582" priority="378">
      <formula>$O74=7</formula>
    </cfRule>
    <cfRule type="expression" dxfId="581" priority="379">
      <formula>$O74=6</formula>
    </cfRule>
    <cfRule type="expression" dxfId="580" priority="380">
      <formula>$O74=5</formula>
    </cfRule>
    <cfRule type="expression" dxfId="579" priority="381">
      <formula>$O74=4</formula>
    </cfRule>
    <cfRule type="expression" dxfId="578" priority="382">
      <formula>$O74=3</formula>
    </cfRule>
    <cfRule type="expression" dxfId="577" priority="383">
      <formula>$O74=2</formula>
    </cfRule>
    <cfRule type="expression" dxfId="576" priority="384">
      <formula>$O74=1</formula>
    </cfRule>
  </conditionalFormatting>
  <conditionalFormatting sqref="B74">
    <cfRule type="expression" dxfId="575" priority="361">
      <formula>$O74=9</formula>
    </cfRule>
    <cfRule type="expression" dxfId="574" priority="362">
      <formula>$O74=7</formula>
    </cfRule>
    <cfRule type="expression" dxfId="573" priority="363">
      <formula>$O74=6</formula>
    </cfRule>
    <cfRule type="expression" dxfId="572" priority="364">
      <formula>$O74=5</formula>
    </cfRule>
    <cfRule type="expression" dxfId="571" priority="365">
      <formula>$O74=4</formula>
    </cfRule>
    <cfRule type="expression" dxfId="570" priority="366">
      <formula>$O74=3</formula>
    </cfRule>
    <cfRule type="expression" dxfId="569" priority="367">
      <formula>$O74=2</formula>
    </cfRule>
    <cfRule type="expression" dxfId="568" priority="368">
      <formula>$O74=1</formula>
    </cfRule>
  </conditionalFormatting>
  <conditionalFormatting sqref="E75:E76">
    <cfRule type="expression" dxfId="567" priority="353">
      <formula>$O75=9</formula>
    </cfRule>
    <cfRule type="expression" dxfId="566" priority="354">
      <formula>$O75=7</formula>
    </cfRule>
    <cfRule type="expression" dxfId="565" priority="355">
      <formula>$O75=6</formula>
    </cfRule>
    <cfRule type="expression" dxfId="564" priority="356">
      <formula>$O75=5</formula>
    </cfRule>
    <cfRule type="expression" dxfId="563" priority="357">
      <formula>$O75=4</formula>
    </cfRule>
    <cfRule type="expression" dxfId="562" priority="358">
      <formula>$O75=3</formula>
    </cfRule>
    <cfRule type="expression" dxfId="561" priority="359">
      <formula>$O75=2</formula>
    </cfRule>
    <cfRule type="expression" dxfId="560" priority="360">
      <formula>$O75=1</formula>
    </cfRule>
  </conditionalFormatting>
  <conditionalFormatting sqref="E22">
    <cfRule type="expression" dxfId="559" priority="249">
      <formula>$O22=9</formula>
    </cfRule>
    <cfRule type="expression" dxfId="558" priority="250">
      <formula>$O22=7</formula>
    </cfRule>
    <cfRule type="expression" dxfId="557" priority="251">
      <formula>$O22=6</formula>
    </cfRule>
    <cfRule type="expression" dxfId="556" priority="252">
      <formula>$O22=5</formula>
    </cfRule>
    <cfRule type="expression" dxfId="555" priority="253">
      <formula>$O22=4</formula>
    </cfRule>
    <cfRule type="expression" dxfId="554" priority="254">
      <formula>$O22=3</formula>
    </cfRule>
    <cfRule type="expression" dxfId="553" priority="255">
      <formula>$O22=2</formula>
    </cfRule>
    <cfRule type="expression" dxfId="552" priority="256">
      <formula>$O22=1</formula>
    </cfRule>
  </conditionalFormatting>
  <conditionalFormatting sqref="E23">
    <cfRule type="expression" dxfId="551" priority="241">
      <formula>$O23=9</formula>
    </cfRule>
    <cfRule type="expression" dxfId="550" priority="242">
      <formula>$O23=7</formula>
    </cfRule>
    <cfRule type="expression" dxfId="549" priority="243">
      <formula>$O23=6</formula>
    </cfRule>
    <cfRule type="expression" dxfId="548" priority="244">
      <formula>$O23=5</formula>
    </cfRule>
    <cfRule type="expression" dxfId="547" priority="245">
      <formula>$O23=4</formula>
    </cfRule>
    <cfRule type="expression" dxfId="546" priority="246">
      <formula>$O23=3</formula>
    </cfRule>
    <cfRule type="expression" dxfId="545" priority="247">
      <formula>$O23=2</formula>
    </cfRule>
    <cfRule type="expression" dxfId="544" priority="248">
      <formula>$O23=1</formula>
    </cfRule>
  </conditionalFormatting>
  <conditionalFormatting sqref="E24">
    <cfRule type="expression" dxfId="543" priority="233">
      <formula>$O24=9</formula>
    </cfRule>
    <cfRule type="expression" dxfId="542" priority="234">
      <formula>$O24=7</formula>
    </cfRule>
    <cfRule type="expression" dxfId="541" priority="235">
      <formula>$O24=6</formula>
    </cfRule>
    <cfRule type="expression" dxfId="540" priority="236">
      <formula>$O24=5</formula>
    </cfRule>
    <cfRule type="expression" dxfId="539" priority="237">
      <formula>$O24=4</formula>
    </cfRule>
    <cfRule type="expression" dxfId="538" priority="238">
      <formula>$O24=3</formula>
    </cfRule>
    <cfRule type="expression" dxfId="537" priority="239">
      <formula>$O24=2</formula>
    </cfRule>
    <cfRule type="expression" dxfId="536" priority="240">
      <formula>$O24=1</formula>
    </cfRule>
  </conditionalFormatting>
  <conditionalFormatting sqref="E25">
    <cfRule type="expression" dxfId="535" priority="225">
      <formula>$O25=9</formula>
    </cfRule>
    <cfRule type="expression" dxfId="534" priority="226">
      <formula>$O25=7</formula>
    </cfRule>
    <cfRule type="expression" dxfId="533" priority="227">
      <formula>$O25=6</formula>
    </cfRule>
    <cfRule type="expression" dxfId="532" priority="228">
      <formula>$O25=5</formula>
    </cfRule>
    <cfRule type="expression" dxfId="531" priority="229">
      <formula>$O25=4</formula>
    </cfRule>
    <cfRule type="expression" dxfId="530" priority="230">
      <formula>$O25=3</formula>
    </cfRule>
    <cfRule type="expression" dxfId="529" priority="231">
      <formula>$O25=2</formula>
    </cfRule>
    <cfRule type="expression" dxfId="528" priority="232">
      <formula>$O25=1</formula>
    </cfRule>
  </conditionalFormatting>
  <conditionalFormatting sqref="E27">
    <cfRule type="expression" dxfId="527" priority="209">
      <formula>$O27=9</formula>
    </cfRule>
    <cfRule type="expression" dxfId="526" priority="210">
      <formula>$O27=7</formula>
    </cfRule>
    <cfRule type="expression" dxfId="525" priority="211">
      <formula>$O27=6</formula>
    </cfRule>
    <cfRule type="expression" dxfId="524" priority="212">
      <formula>$O27=5</formula>
    </cfRule>
    <cfRule type="expression" dxfId="523" priority="213">
      <formula>$O27=4</formula>
    </cfRule>
    <cfRule type="expression" dxfId="522" priority="214">
      <formula>$O27=3</formula>
    </cfRule>
    <cfRule type="expression" dxfId="521" priority="215">
      <formula>$O27=2</formula>
    </cfRule>
    <cfRule type="expression" dxfId="520" priority="216">
      <formula>$O27=1</formula>
    </cfRule>
  </conditionalFormatting>
  <conditionalFormatting sqref="E26">
    <cfRule type="expression" dxfId="519" priority="217">
      <formula>$O26=9</formula>
    </cfRule>
    <cfRule type="expression" dxfId="518" priority="218">
      <formula>$O26=7</formula>
    </cfRule>
    <cfRule type="expression" dxfId="517" priority="219">
      <formula>$O26=6</formula>
    </cfRule>
    <cfRule type="expression" dxfId="516" priority="220">
      <formula>$O26=5</formula>
    </cfRule>
    <cfRule type="expression" dxfId="515" priority="221">
      <formula>$O26=4</formula>
    </cfRule>
    <cfRule type="expression" dxfId="514" priority="222">
      <formula>$O26=3</formula>
    </cfRule>
    <cfRule type="expression" dxfId="513" priority="223">
      <formula>$O26=2</formula>
    </cfRule>
    <cfRule type="expression" dxfId="512" priority="224">
      <formula>$O26=1</formula>
    </cfRule>
  </conditionalFormatting>
  <conditionalFormatting sqref="E80:E81 E93 E96 E100 E104">
    <cfRule type="expression" dxfId="511" priority="193">
      <formula>$O80=9</formula>
    </cfRule>
    <cfRule type="expression" dxfId="510" priority="194">
      <formula>$O80=7</formula>
    </cfRule>
    <cfRule type="expression" dxfId="509" priority="195">
      <formula>$O80=6</formula>
    </cfRule>
    <cfRule type="expression" dxfId="508" priority="196">
      <formula>$O80=5</formula>
    </cfRule>
    <cfRule type="expression" dxfId="507" priority="197">
      <formula>$O80=4</formula>
    </cfRule>
    <cfRule type="expression" dxfId="506" priority="198">
      <formula>$O80=3</formula>
    </cfRule>
    <cfRule type="expression" dxfId="505" priority="199">
      <formula>$O80=2</formula>
    </cfRule>
    <cfRule type="expression" dxfId="504" priority="200">
      <formula>$O80=1</formula>
    </cfRule>
  </conditionalFormatting>
  <conditionalFormatting sqref="E78:E79">
    <cfRule type="expression" dxfId="503" priority="153">
      <formula>$O83=9</formula>
    </cfRule>
    <cfRule type="expression" dxfId="502" priority="154">
      <formula>$O83=7</formula>
    </cfRule>
    <cfRule type="expression" dxfId="501" priority="155">
      <formula>$O83=6</formula>
    </cfRule>
    <cfRule type="expression" dxfId="500" priority="156">
      <formula>$O83=5</formula>
    </cfRule>
    <cfRule type="expression" dxfId="499" priority="157">
      <formula>$O83=4</formula>
    </cfRule>
    <cfRule type="expression" dxfId="498" priority="158">
      <formula>$O83=3</formula>
    </cfRule>
    <cfRule type="expression" dxfId="497" priority="159">
      <formula>$O83=2</formula>
    </cfRule>
    <cfRule type="expression" dxfId="496" priority="160">
      <formula>$O83=1</formula>
    </cfRule>
  </conditionalFormatting>
  <conditionalFormatting sqref="E83:E84">
    <cfRule type="expression" dxfId="495" priority="145">
      <formula>$O83=9</formula>
    </cfRule>
    <cfRule type="expression" dxfId="494" priority="146">
      <formula>$O83=7</formula>
    </cfRule>
    <cfRule type="expression" dxfId="493" priority="147">
      <formula>$O83=6</formula>
    </cfRule>
    <cfRule type="expression" dxfId="492" priority="148">
      <formula>$O83=5</formula>
    </cfRule>
    <cfRule type="expression" dxfId="491" priority="149">
      <formula>$O83=4</formula>
    </cfRule>
    <cfRule type="expression" dxfId="490" priority="150">
      <formula>$O83=3</formula>
    </cfRule>
    <cfRule type="expression" dxfId="489" priority="151">
      <formula>$O83=2</formula>
    </cfRule>
    <cfRule type="expression" dxfId="488" priority="152">
      <formula>$O83=1</formula>
    </cfRule>
  </conditionalFormatting>
  <conditionalFormatting sqref="E85:E86">
    <cfRule type="expression" dxfId="487" priority="137">
      <formula>$O85=9</formula>
    </cfRule>
    <cfRule type="expression" dxfId="486" priority="138">
      <formula>$O85=7</formula>
    </cfRule>
    <cfRule type="expression" dxfId="485" priority="139">
      <formula>$O85=6</formula>
    </cfRule>
    <cfRule type="expression" dxfId="484" priority="140">
      <formula>$O85=5</formula>
    </cfRule>
    <cfRule type="expression" dxfId="483" priority="141">
      <formula>$O85=4</formula>
    </cfRule>
    <cfRule type="expression" dxfId="482" priority="142">
      <formula>$O85=3</formula>
    </cfRule>
    <cfRule type="expression" dxfId="481" priority="143">
      <formula>$O85=2</formula>
    </cfRule>
    <cfRule type="expression" dxfId="480" priority="144">
      <formula>$O85=1</formula>
    </cfRule>
  </conditionalFormatting>
  <conditionalFormatting sqref="E82">
    <cfRule type="expression" dxfId="479" priority="129">
      <formula>$O82=9</formula>
    </cfRule>
    <cfRule type="expression" dxfId="478" priority="130">
      <formula>$O82=7</formula>
    </cfRule>
    <cfRule type="expression" dxfId="477" priority="131">
      <formula>$O82=6</formula>
    </cfRule>
    <cfRule type="expression" dxfId="476" priority="132">
      <formula>$O82=5</formula>
    </cfRule>
    <cfRule type="expression" dxfId="475" priority="133">
      <formula>$O82=4</formula>
    </cfRule>
    <cfRule type="expression" dxfId="474" priority="134">
      <formula>$O82=3</formula>
    </cfRule>
    <cfRule type="expression" dxfId="473" priority="135">
      <formula>$O82=2</formula>
    </cfRule>
    <cfRule type="expression" dxfId="472" priority="136">
      <formula>$O82=1</formula>
    </cfRule>
  </conditionalFormatting>
  <conditionalFormatting sqref="E90">
    <cfRule type="expression" dxfId="471" priority="121">
      <formula>$O90=9</formula>
    </cfRule>
    <cfRule type="expression" dxfId="470" priority="122">
      <formula>$O90=7</formula>
    </cfRule>
    <cfRule type="expression" dxfId="469" priority="123">
      <formula>$O90=6</formula>
    </cfRule>
    <cfRule type="expression" dxfId="468" priority="124">
      <formula>$O90=5</formula>
    </cfRule>
    <cfRule type="expression" dxfId="467" priority="125">
      <formula>$O90=4</formula>
    </cfRule>
    <cfRule type="expression" dxfId="466" priority="126">
      <formula>$O90=3</formula>
    </cfRule>
    <cfRule type="expression" dxfId="465" priority="127">
      <formula>$O90=2</formula>
    </cfRule>
    <cfRule type="expression" dxfId="464" priority="128">
      <formula>$O90=1</formula>
    </cfRule>
  </conditionalFormatting>
  <conditionalFormatting sqref="E89">
    <cfRule type="expression" dxfId="463" priority="105">
      <formula>$O89=9</formula>
    </cfRule>
    <cfRule type="expression" dxfId="462" priority="106">
      <formula>$O89=7</formula>
    </cfRule>
    <cfRule type="expression" dxfId="461" priority="107">
      <formula>$O89=6</formula>
    </cfRule>
    <cfRule type="expression" dxfId="460" priority="108">
      <formula>$O89=5</formula>
    </cfRule>
    <cfRule type="expression" dxfId="459" priority="109">
      <formula>$O89=4</formula>
    </cfRule>
    <cfRule type="expression" dxfId="458" priority="110">
      <formula>$O89=3</formula>
    </cfRule>
    <cfRule type="expression" dxfId="457" priority="111">
      <formula>$O89=2</formula>
    </cfRule>
    <cfRule type="expression" dxfId="456" priority="112">
      <formula>$O89=1</formula>
    </cfRule>
  </conditionalFormatting>
  <conditionalFormatting sqref="E91">
    <cfRule type="expression" dxfId="455" priority="97">
      <formula>$O91=9</formula>
    </cfRule>
    <cfRule type="expression" dxfId="454" priority="98">
      <formula>$O91=7</formula>
    </cfRule>
    <cfRule type="expression" dxfId="453" priority="99">
      <formula>$O91=6</formula>
    </cfRule>
    <cfRule type="expression" dxfId="452" priority="100">
      <formula>$O91=5</formula>
    </cfRule>
    <cfRule type="expression" dxfId="451" priority="101">
      <formula>$O91=4</formula>
    </cfRule>
    <cfRule type="expression" dxfId="450" priority="102">
      <formula>$O91=3</formula>
    </cfRule>
    <cfRule type="expression" dxfId="449" priority="103">
      <formula>$O91=2</formula>
    </cfRule>
    <cfRule type="expression" dxfId="448" priority="104">
      <formula>$O91=1</formula>
    </cfRule>
  </conditionalFormatting>
  <conditionalFormatting sqref="E94">
    <cfRule type="expression" dxfId="447" priority="81">
      <formula>$O94=9</formula>
    </cfRule>
    <cfRule type="expression" dxfId="446" priority="82">
      <formula>$O94=7</formula>
    </cfRule>
    <cfRule type="expression" dxfId="445" priority="83">
      <formula>$O94=6</formula>
    </cfRule>
    <cfRule type="expression" dxfId="444" priority="84">
      <formula>$O94=5</formula>
    </cfRule>
    <cfRule type="expression" dxfId="443" priority="85">
      <formula>$O94=4</formula>
    </cfRule>
    <cfRule type="expression" dxfId="442" priority="86">
      <formula>$O94=3</formula>
    </cfRule>
    <cfRule type="expression" dxfId="441" priority="87">
      <formula>$O94=2</formula>
    </cfRule>
    <cfRule type="expression" dxfId="440" priority="88">
      <formula>$O94=1</formula>
    </cfRule>
  </conditionalFormatting>
  <conditionalFormatting sqref="E97:E98">
    <cfRule type="expression" dxfId="439" priority="73">
      <formula>$O97=9</formula>
    </cfRule>
    <cfRule type="expression" dxfId="438" priority="74">
      <formula>$O97=7</formula>
    </cfRule>
    <cfRule type="expression" dxfId="437" priority="75">
      <formula>$O97=6</formula>
    </cfRule>
    <cfRule type="expression" dxfId="436" priority="76">
      <formula>$O97=5</formula>
    </cfRule>
    <cfRule type="expression" dxfId="435" priority="77">
      <formula>$O97=4</formula>
    </cfRule>
    <cfRule type="expression" dxfId="434" priority="78">
      <formula>$O97=3</formula>
    </cfRule>
    <cfRule type="expression" dxfId="433" priority="79">
      <formula>$O97=2</formula>
    </cfRule>
    <cfRule type="expression" dxfId="432" priority="80">
      <formula>$O97=1</formula>
    </cfRule>
  </conditionalFormatting>
  <conditionalFormatting sqref="B101">
    <cfRule type="expression" dxfId="431" priority="65">
      <formula>$O101=9</formula>
    </cfRule>
    <cfRule type="expression" dxfId="430" priority="66">
      <formula>$O101=7</formula>
    </cfRule>
    <cfRule type="expression" dxfId="429" priority="67">
      <formula>$O101=6</formula>
    </cfRule>
    <cfRule type="expression" dxfId="428" priority="68">
      <formula>$O101=5</formula>
    </cfRule>
    <cfRule type="expression" dxfId="427" priority="69">
      <formula>$O101=4</formula>
    </cfRule>
    <cfRule type="expression" dxfId="426" priority="70">
      <formula>$O101=3</formula>
    </cfRule>
    <cfRule type="expression" dxfId="425" priority="71">
      <formula>$O101=2</formula>
    </cfRule>
    <cfRule type="expression" dxfId="424" priority="72">
      <formula>$O101=1</formula>
    </cfRule>
  </conditionalFormatting>
  <conditionalFormatting sqref="E101:E102">
    <cfRule type="expression" dxfId="423" priority="57">
      <formula>$O101=9</formula>
    </cfRule>
    <cfRule type="expression" dxfId="422" priority="58">
      <formula>$O101=7</formula>
    </cfRule>
    <cfRule type="expression" dxfId="421" priority="59">
      <formula>$O101=6</formula>
    </cfRule>
    <cfRule type="expression" dxfId="420" priority="60">
      <formula>$O101=5</formula>
    </cfRule>
    <cfRule type="expression" dxfId="419" priority="61">
      <formula>$O101=4</formula>
    </cfRule>
    <cfRule type="expression" dxfId="418" priority="62">
      <formula>$O101=3</formula>
    </cfRule>
    <cfRule type="expression" dxfId="417" priority="63">
      <formula>$O101=2</formula>
    </cfRule>
    <cfRule type="expression" dxfId="416" priority="64">
      <formula>$O101=1</formula>
    </cfRule>
  </conditionalFormatting>
  <conditionalFormatting sqref="F101:F102">
    <cfRule type="expression" dxfId="415" priority="49">
      <formula>$O101=9</formula>
    </cfRule>
    <cfRule type="expression" dxfId="414" priority="50">
      <formula>$O101=7</formula>
    </cfRule>
    <cfRule type="expression" dxfId="413" priority="51">
      <formula>$O101=6</formula>
    </cfRule>
    <cfRule type="expression" dxfId="412" priority="52">
      <formula>$O101=5</formula>
    </cfRule>
    <cfRule type="expression" dxfId="411" priority="53">
      <formula>$O101=4</formula>
    </cfRule>
    <cfRule type="expression" dxfId="410" priority="54">
      <formula>$O101=3</formula>
    </cfRule>
    <cfRule type="expression" dxfId="409" priority="55">
      <formula>$O101=2</formula>
    </cfRule>
    <cfRule type="expression" dxfId="408" priority="56">
      <formula>$O101=1</formula>
    </cfRule>
  </conditionalFormatting>
  <conditionalFormatting sqref="E105:E106">
    <cfRule type="expression" dxfId="407" priority="33">
      <formula>$O105=9</formula>
    </cfRule>
    <cfRule type="expression" dxfId="406" priority="34">
      <formula>$O105=7</formula>
    </cfRule>
    <cfRule type="expression" dxfId="405" priority="35">
      <formula>$O105=6</formula>
    </cfRule>
    <cfRule type="expression" dxfId="404" priority="36">
      <formula>$O105=5</formula>
    </cfRule>
    <cfRule type="expression" dxfId="403" priority="37">
      <formula>$O105=4</formula>
    </cfRule>
    <cfRule type="expression" dxfId="402" priority="38">
      <formula>$O105=3</formula>
    </cfRule>
    <cfRule type="expression" dxfId="401" priority="39">
      <formula>$O105=2</formula>
    </cfRule>
    <cfRule type="expression" dxfId="400" priority="40">
      <formula>$O105=1</formula>
    </cfRule>
  </conditionalFormatting>
  <conditionalFormatting sqref="F105:F106">
    <cfRule type="expression" dxfId="399" priority="25">
      <formula>$O105=9</formula>
    </cfRule>
    <cfRule type="expression" dxfId="398" priority="26">
      <formula>$O105=7</formula>
    </cfRule>
    <cfRule type="expression" dxfId="397" priority="27">
      <formula>$O105=6</formula>
    </cfRule>
    <cfRule type="expression" dxfId="396" priority="28">
      <formula>$O105=5</formula>
    </cfRule>
    <cfRule type="expression" dxfId="395" priority="29">
      <formula>$O105=4</formula>
    </cfRule>
    <cfRule type="expression" dxfId="394" priority="30">
      <formula>$O105=3</formula>
    </cfRule>
    <cfRule type="expression" dxfId="393" priority="31">
      <formula>$O105=2</formula>
    </cfRule>
    <cfRule type="expression" dxfId="392" priority="32">
      <formula>$O105=1</formula>
    </cfRule>
  </conditionalFormatting>
  <conditionalFormatting sqref="E31">
    <cfRule type="expression" dxfId="391" priority="17">
      <formula>$P31=9</formula>
    </cfRule>
    <cfRule type="expression" dxfId="390" priority="18">
      <formula>$P31=7</formula>
    </cfRule>
    <cfRule type="expression" dxfId="389" priority="19">
      <formula>$P31=6</formula>
    </cfRule>
    <cfRule type="expression" dxfId="388" priority="20">
      <formula>$P31=5</formula>
    </cfRule>
    <cfRule type="expression" dxfId="387" priority="21">
      <formula>$P31=4</formula>
    </cfRule>
    <cfRule type="expression" dxfId="386" priority="22">
      <formula>$P31=3</formula>
    </cfRule>
    <cfRule type="expression" dxfId="385" priority="23">
      <formula>$P31=2</formula>
    </cfRule>
    <cfRule type="expression" dxfId="384" priority="24">
      <formula>$P31=1</formula>
    </cfRule>
  </conditionalFormatting>
  <conditionalFormatting sqref="E103">
    <cfRule type="expression" dxfId="383" priority="1">
      <formula>$O103=9</formula>
    </cfRule>
    <cfRule type="expression" dxfId="382" priority="2">
      <formula>$O103=7</formula>
    </cfRule>
    <cfRule type="expression" dxfId="381" priority="3">
      <formula>$O103=6</formula>
    </cfRule>
    <cfRule type="expression" dxfId="380" priority="4">
      <formula>$O103=5</formula>
    </cfRule>
    <cfRule type="expression" dxfId="379" priority="5">
      <formula>$O103=4</formula>
    </cfRule>
    <cfRule type="expression" dxfId="378" priority="6">
      <formula>$O103=3</formula>
    </cfRule>
    <cfRule type="expression" dxfId="377" priority="7">
      <formula>$O103=2</formula>
    </cfRule>
    <cfRule type="expression" dxfId="376" priority="8">
      <formula>$O103=1</formula>
    </cfRule>
  </conditionalFormatting>
  <pageMargins left="7.874015748031496E-2" right="0.11811023622047245" top="0.74803149606299213" bottom="0.74803149606299213" header="0.31496062992125984" footer="0.31496062992125984"/>
  <pageSetup firstPageNumber="58" orientation="landscape" useFirstPageNumber="1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47"/>
  <sheetViews>
    <sheetView zoomScale="118" zoomScaleNormal="118" workbookViewId="0">
      <pane ySplit="5" topLeftCell="A6" activePane="bottomLeft" state="frozen"/>
      <selection pane="bottomLeft" activeCell="D7" sqref="D7"/>
    </sheetView>
  </sheetViews>
  <sheetFormatPr defaultRowHeight="14.4" x14ac:dyDescent="0.3"/>
  <cols>
    <col min="1" max="1" width="11" customWidth="1"/>
    <col min="2" max="2" width="12.44140625" customWidth="1"/>
    <col min="3" max="3" width="30.6640625" customWidth="1"/>
    <col min="4" max="4" width="16.109375" customWidth="1"/>
    <col min="5" max="5" width="15.33203125" customWidth="1"/>
    <col min="6" max="6" width="15.6640625" customWidth="1"/>
    <col min="7" max="7" width="16.109375" customWidth="1"/>
    <col min="8" max="8" width="10.5546875" customWidth="1"/>
    <col min="9" max="9" width="14.33203125" bestFit="1" customWidth="1"/>
    <col min="10" max="10" width="18.6640625" bestFit="1" customWidth="1"/>
    <col min="12" max="12" width="13.109375" bestFit="1" customWidth="1"/>
  </cols>
  <sheetData>
    <row r="1" spans="1:8" x14ac:dyDescent="0.3">
      <c r="A1" s="585" t="s">
        <v>5</v>
      </c>
      <c r="B1" s="585"/>
      <c r="C1" s="585"/>
      <c r="D1" s="585"/>
      <c r="E1" s="585"/>
      <c r="F1" s="585"/>
      <c r="G1" s="585"/>
      <c r="H1" s="585"/>
    </row>
    <row r="2" spans="1:8" x14ac:dyDescent="0.3">
      <c r="A2" s="575" t="s">
        <v>1162</v>
      </c>
      <c r="B2" s="575"/>
      <c r="C2" s="575"/>
      <c r="D2" s="575"/>
      <c r="E2" s="575"/>
      <c r="F2" s="575"/>
      <c r="G2" s="575"/>
      <c r="H2" s="575"/>
    </row>
    <row r="3" spans="1:8" x14ac:dyDescent="0.3">
      <c r="A3" s="585"/>
      <c r="B3" s="585"/>
      <c r="C3" s="585"/>
      <c r="D3" s="585"/>
      <c r="E3" s="585"/>
      <c r="F3" s="585"/>
      <c r="G3" s="585"/>
      <c r="H3" s="585"/>
    </row>
    <row r="4" spans="1:8" x14ac:dyDescent="0.3">
      <c r="A4" s="585" t="s">
        <v>10</v>
      </c>
      <c r="B4" s="585"/>
      <c r="C4" s="585"/>
      <c r="D4" s="585"/>
      <c r="E4" s="585"/>
      <c r="F4" s="585"/>
      <c r="G4" s="585"/>
      <c r="H4" s="585"/>
    </row>
    <row r="5" spans="1:8" s="21" customFormat="1" ht="37.5" customHeight="1" x14ac:dyDescent="0.3">
      <c r="A5" s="37" t="s">
        <v>11</v>
      </c>
      <c r="B5" s="37" t="s">
        <v>12</v>
      </c>
      <c r="C5" s="37" t="s">
        <v>13</v>
      </c>
      <c r="D5" s="37" t="s">
        <v>468</v>
      </c>
      <c r="E5" s="37" t="s">
        <v>469</v>
      </c>
      <c r="F5" s="37" t="s">
        <v>470</v>
      </c>
      <c r="G5" s="37" t="s">
        <v>1154</v>
      </c>
      <c r="H5" s="53" t="s">
        <v>43</v>
      </c>
    </row>
    <row r="6" spans="1:8" s="21" customFormat="1" ht="21.6" x14ac:dyDescent="0.3">
      <c r="A6" s="158" t="s">
        <v>70</v>
      </c>
      <c r="B6" s="156"/>
      <c r="C6" s="236" t="s">
        <v>24</v>
      </c>
      <c r="D6" s="156"/>
      <c r="E6" s="156"/>
      <c r="F6" s="156"/>
      <c r="G6" s="156"/>
      <c r="H6" s="275"/>
    </row>
    <row r="7" spans="1:8" s="21" customFormat="1" ht="21" thickBot="1" x14ac:dyDescent="0.35">
      <c r="A7" s="244"/>
      <c r="B7" s="128" t="s">
        <v>544</v>
      </c>
      <c r="C7" s="129" t="s">
        <v>545</v>
      </c>
      <c r="D7" s="245">
        <v>24580000</v>
      </c>
      <c r="E7" s="245">
        <v>0</v>
      </c>
      <c r="F7" s="237">
        <v>25000000</v>
      </c>
      <c r="G7" s="229">
        <f>D7+F7</f>
        <v>49580000</v>
      </c>
      <c r="H7" s="278" t="s">
        <v>240</v>
      </c>
    </row>
    <row r="8" spans="1:8" s="21" customFormat="1" ht="34.5" customHeight="1" thickBot="1" x14ac:dyDescent="0.35">
      <c r="A8" s="247"/>
      <c r="B8" s="161"/>
      <c r="C8" s="162" t="s">
        <v>543</v>
      </c>
      <c r="D8" s="163">
        <f t="shared" ref="D8:F8" si="0">SUM(D7)</f>
        <v>24580000</v>
      </c>
      <c r="E8" s="163">
        <f t="shared" si="0"/>
        <v>0</v>
      </c>
      <c r="F8" s="163">
        <f t="shared" si="0"/>
        <v>25000000</v>
      </c>
      <c r="G8" s="163">
        <f>SUM(G7)</f>
        <v>49580000</v>
      </c>
      <c r="H8" s="276"/>
    </row>
    <row r="9" spans="1:8" s="21" customFormat="1" ht="6.75" customHeight="1" x14ac:dyDescent="0.3">
      <c r="A9" s="246"/>
      <c r="B9" s="225"/>
      <c r="C9" s="226"/>
      <c r="D9" s="225"/>
      <c r="E9" s="225"/>
      <c r="F9" s="225"/>
      <c r="G9" s="225"/>
      <c r="H9" s="277"/>
    </row>
    <row r="10" spans="1:8" s="21" customFormat="1" ht="15.75" customHeight="1" x14ac:dyDescent="0.3">
      <c r="A10" s="158" t="s">
        <v>71</v>
      </c>
      <c r="B10" s="156"/>
      <c r="C10" s="157" t="s">
        <v>290</v>
      </c>
      <c r="D10" s="225"/>
      <c r="E10" s="225"/>
      <c r="F10" s="156"/>
      <c r="G10" s="156"/>
      <c r="H10" s="275"/>
    </row>
    <row r="11" spans="1:8" s="21" customFormat="1" ht="27" customHeight="1" x14ac:dyDescent="0.3">
      <c r="A11" s="145"/>
      <c r="B11" s="128" t="s">
        <v>546</v>
      </c>
      <c r="C11" s="267" t="s">
        <v>292</v>
      </c>
      <c r="D11" s="268">
        <v>0</v>
      </c>
      <c r="E11" s="268">
        <v>0</v>
      </c>
      <c r="F11" s="269">
        <v>25000000</v>
      </c>
      <c r="G11" s="151">
        <f>D11+F11</f>
        <v>25000000</v>
      </c>
      <c r="H11" s="278" t="s">
        <v>240</v>
      </c>
    </row>
    <row r="12" spans="1:8" s="21" customFormat="1" ht="16.5" customHeight="1" x14ac:dyDescent="0.3">
      <c r="A12" s="145"/>
      <c r="B12" s="128" t="s">
        <v>547</v>
      </c>
      <c r="C12" s="267" t="s">
        <v>293</v>
      </c>
      <c r="D12" s="268">
        <v>0</v>
      </c>
      <c r="E12" s="268">
        <v>0</v>
      </c>
      <c r="F12" s="269">
        <v>350000</v>
      </c>
      <c r="G12" s="151">
        <f>D12+F12</f>
        <v>350000</v>
      </c>
      <c r="H12" s="278" t="s">
        <v>240</v>
      </c>
    </row>
    <row r="13" spans="1:8" s="21" customFormat="1" ht="16.5" customHeight="1" thickBot="1" x14ac:dyDescent="0.35">
      <c r="A13" s="159"/>
      <c r="B13" s="128" t="s">
        <v>548</v>
      </c>
      <c r="C13" s="270" t="s">
        <v>294</v>
      </c>
      <c r="D13" s="271">
        <v>0</v>
      </c>
      <c r="E13" s="271">
        <v>0</v>
      </c>
      <c r="F13" s="272">
        <v>315000</v>
      </c>
      <c r="G13" s="229">
        <f>D13+F13</f>
        <v>315000</v>
      </c>
      <c r="H13" s="279" t="s">
        <v>240</v>
      </c>
    </row>
    <row r="14" spans="1:8" s="21" customFormat="1" ht="25.5" customHeight="1" thickBot="1" x14ac:dyDescent="0.35">
      <c r="A14" s="160"/>
      <c r="B14" s="161"/>
      <c r="C14" s="162" t="s">
        <v>291</v>
      </c>
      <c r="D14" s="163">
        <f t="shared" ref="D14:F14" si="1">SUM(D11:D13)</f>
        <v>0</v>
      </c>
      <c r="E14" s="163"/>
      <c r="F14" s="163">
        <f t="shared" si="1"/>
        <v>25665000</v>
      </c>
      <c r="G14" s="163">
        <f>SUM(G11:G13)</f>
        <v>25665000</v>
      </c>
      <c r="H14" s="276"/>
    </row>
    <row r="15" spans="1:8" s="21" customFormat="1" ht="6" customHeight="1" x14ac:dyDescent="0.3">
      <c r="A15" s="225"/>
      <c r="B15" s="225"/>
      <c r="C15" s="226"/>
      <c r="D15" s="227"/>
      <c r="E15" s="227"/>
      <c r="F15" s="227"/>
      <c r="G15" s="227"/>
      <c r="H15" s="277"/>
    </row>
    <row r="16" spans="1:8" s="21" customFormat="1" ht="21.6" x14ac:dyDescent="0.3">
      <c r="A16" s="158" t="s">
        <v>527</v>
      </c>
      <c r="B16" s="156"/>
      <c r="C16" s="157" t="s">
        <v>1142</v>
      </c>
      <c r="D16" s="224"/>
      <c r="E16" s="224"/>
      <c r="F16" s="224"/>
      <c r="G16" s="224"/>
      <c r="H16" s="275"/>
    </row>
    <row r="17" spans="1:8" s="21" customFormat="1" ht="16.5" customHeight="1" thickBot="1" x14ac:dyDescent="0.35">
      <c r="A17" s="228"/>
      <c r="B17" s="128" t="s">
        <v>528</v>
      </c>
      <c r="C17" s="129" t="s">
        <v>521</v>
      </c>
      <c r="D17" s="130">
        <v>0</v>
      </c>
      <c r="E17" s="130">
        <v>0</v>
      </c>
      <c r="F17" s="130">
        <v>998000</v>
      </c>
      <c r="G17" s="229">
        <f>D17+F17</f>
        <v>998000</v>
      </c>
      <c r="H17" s="316" t="s">
        <v>430</v>
      </c>
    </row>
    <row r="18" spans="1:8" s="21" customFormat="1" ht="22.2" thickBot="1" x14ac:dyDescent="0.35">
      <c r="A18" s="230"/>
      <c r="B18" s="231"/>
      <c r="C18" s="157" t="s">
        <v>1143</v>
      </c>
      <c r="D18" s="163">
        <f t="shared" ref="D18:F18" si="2">SUM(D15:D17)</f>
        <v>0</v>
      </c>
      <c r="E18" s="163"/>
      <c r="F18" s="163">
        <f t="shared" si="2"/>
        <v>998000</v>
      </c>
      <c r="G18" s="163">
        <f>SUM(G15:G17)</f>
        <v>998000</v>
      </c>
      <c r="H18" s="276"/>
    </row>
    <row r="19" spans="1:8" s="21" customFormat="1" ht="6.75" customHeight="1" x14ac:dyDescent="0.3">
      <c r="A19" s="225"/>
      <c r="B19" s="225"/>
      <c r="C19" s="226"/>
      <c r="D19" s="227"/>
      <c r="E19" s="227"/>
      <c r="F19" s="227"/>
      <c r="G19" s="227"/>
      <c r="H19" s="277"/>
    </row>
    <row r="20" spans="1:8" s="22" customFormat="1" ht="24.75" customHeight="1" x14ac:dyDescent="0.3">
      <c r="A20" s="59" t="s">
        <v>244</v>
      </c>
      <c r="B20" s="127"/>
      <c r="C20" s="98" t="s">
        <v>306</v>
      </c>
      <c r="D20" s="126"/>
      <c r="E20" s="126"/>
      <c r="F20" s="75"/>
      <c r="G20" s="125"/>
      <c r="H20" s="280"/>
    </row>
    <row r="21" spans="1:8" s="22" customFormat="1" ht="16.5" customHeight="1" x14ac:dyDescent="0.3">
      <c r="A21" s="59"/>
      <c r="B21" s="196" t="s">
        <v>533</v>
      </c>
      <c r="C21" s="170" t="s">
        <v>399</v>
      </c>
      <c r="D21" s="70">
        <v>172000000</v>
      </c>
      <c r="E21" s="70">
        <v>152190000</v>
      </c>
      <c r="F21" s="75">
        <v>0</v>
      </c>
      <c r="G21" s="151">
        <f t="shared" ref="G21:G37" si="3">D21+F21-E21</f>
        <v>19810000</v>
      </c>
      <c r="H21" s="281" t="s">
        <v>339</v>
      </c>
    </row>
    <row r="22" spans="1:8" s="22" customFormat="1" ht="16.5" customHeight="1" x14ac:dyDescent="0.3">
      <c r="A22" s="59"/>
      <c r="B22" s="127" t="s">
        <v>478</v>
      </c>
      <c r="C22" s="195" t="s">
        <v>479</v>
      </c>
      <c r="D22" s="151">
        <v>0</v>
      </c>
      <c r="E22" s="151">
        <v>0</v>
      </c>
      <c r="F22" s="151">
        <v>1562925</v>
      </c>
      <c r="G22" s="151">
        <f t="shared" si="3"/>
        <v>1562925</v>
      </c>
      <c r="H22" s="281" t="s">
        <v>430</v>
      </c>
    </row>
    <row r="23" spans="1:8" s="22" customFormat="1" ht="21.6" x14ac:dyDescent="0.3">
      <c r="A23" s="59"/>
      <c r="B23" s="127" t="s">
        <v>495</v>
      </c>
      <c r="C23" s="195" t="s">
        <v>480</v>
      </c>
      <c r="D23" s="151">
        <v>0</v>
      </c>
      <c r="E23" s="151">
        <v>0</v>
      </c>
      <c r="F23" s="151">
        <v>881650</v>
      </c>
      <c r="G23" s="151">
        <f t="shared" si="3"/>
        <v>881650</v>
      </c>
      <c r="H23" s="281" t="s">
        <v>430</v>
      </c>
    </row>
    <row r="24" spans="1:8" s="22" customFormat="1" ht="16.5" customHeight="1" x14ac:dyDescent="0.3">
      <c r="A24" s="59"/>
      <c r="B24" s="127" t="s">
        <v>496</v>
      </c>
      <c r="C24" s="195" t="s">
        <v>481</v>
      </c>
      <c r="D24" s="151">
        <v>0</v>
      </c>
      <c r="E24" s="151">
        <v>0</v>
      </c>
      <c r="F24" s="151">
        <v>4694500</v>
      </c>
      <c r="G24" s="151">
        <f t="shared" si="3"/>
        <v>4694500</v>
      </c>
      <c r="H24" s="281" t="s">
        <v>430</v>
      </c>
    </row>
    <row r="25" spans="1:8" s="22" customFormat="1" ht="16.5" customHeight="1" x14ac:dyDescent="0.3">
      <c r="A25" s="59"/>
      <c r="B25" s="127" t="s">
        <v>497</v>
      </c>
      <c r="C25" s="195" t="s">
        <v>482</v>
      </c>
      <c r="D25" s="151">
        <v>0</v>
      </c>
      <c r="E25" s="151">
        <v>0</v>
      </c>
      <c r="F25" s="151">
        <v>6537950</v>
      </c>
      <c r="G25" s="151">
        <f t="shared" si="3"/>
        <v>6537950</v>
      </c>
      <c r="H25" s="281" t="s">
        <v>430</v>
      </c>
    </row>
    <row r="26" spans="1:8" s="22" customFormat="1" ht="16.5" customHeight="1" x14ac:dyDescent="0.3">
      <c r="A26" s="59"/>
      <c r="B26" s="127" t="s">
        <v>498</v>
      </c>
      <c r="C26" s="195" t="s">
        <v>483</v>
      </c>
      <c r="D26" s="151">
        <v>0</v>
      </c>
      <c r="E26" s="151">
        <v>0</v>
      </c>
      <c r="F26" s="151">
        <v>1557200</v>
      </c>
      <c r="G26" s="151">
        <f t="shared" si="3"/>
        <v>1557200</v>
      </c>
      <c r="H26" s="281" t="s">
        <v>430</v>
      </c>
    </row>
    <row r="27" spans="1:8" s="22" customFormat="1" ht="16.5" customHeight="1" x14ac:dyDescent="0.3">
      <c r="A27" s="59"/>
      <c r="B27" s="127" t="s">
        <v>499</v>
      </c>
      <c r="C27" s="195" t="s">
        <v>484</v>
      </c>
      <c r="D27" s="151">
        <v>0</v>
      </c>
      <c r="E27" s="151">
        <v>0</v>
      </c>
      <c r="F27" s="151">
        <v>5667750</v>
      </c>
      <c r="G27" s="151">
        <f t="shared" si="3"/>
        <v>5667750</v>
      </c>
      <c r="H27" s="281" t="s">
        <v>430</v>
      </c>
    </row>
    <row r="28" spans="1:8" s="22" customFormat="1" ht="16.5" customHeight="1" x14ac:dyDescent="0.3">
      <c r="A28" s="59"/>
      <c r="B28" s="127" t="s">
        <v>500</v>
      </c>
      <c r="C28" s="195" t="s">
        <v>485</v>
      </c>
      <c r="D28" s="151">
        <v>0</v>
      </c>
      <c r="E28" s="151">
        <v>0</v>
      </c>
      <c r="F28" s="151">
        <v>1145000</v>
      </c>
      <c r="G28" s="151">
        <f t="shared" si="3"/>
        <v>1145000</v>
      </c>
      <c r="H28" s="281" t="s">
        <v>430</v>
      </c>
    </row>
    <row r="29" spans="1:8" s="22" customFormat="1" ht="16.5" customHeight="1" x14ac:dyDescent="0.3">
      <c r="A29" s="59"/>
      <c r="B29" s="127" t="s">
        <v>501</v>
      </c>
      <c r="C29" s="195" t="s">
        <v>486</v>
      </c>
      <c r="D29" s="151">
        <v>0</v>
      </c>
      <c r="E29" s="151">
        <v>0</v>
      </c>
      <c r="F29" s="151">
        <v>2290000</v>
      </c>
      <c r="G29" s="151">
        <f t="shared" si="3"/>
        <v>2290000</v>
      </c>
      <c r="H29" s="281" t="s">
        <v>430</v>
      </c>
    </row>
    <row r="30" spans="1:8" s="22" customFormat="1" ht="16.5" customHeight="1" x14ac:dyDescent="0.3">
      <c r="A30" s="59"/>
      <c r="B30" s="127" t="s">
        <v>502</v>
      </c>
      <c r="C30" s="195" t="s">
        <v>487</v>
      </c>
      <c r="D30" s="151">
        <v>0</v>
      </c>
      <c r="E30" s="151">
        <v>0</v>
      </c>
      <c r="F30" s="151">
        <v>458000</v>
      </c>
      <c r="G30" s="151">
        <f t="shared" si="3"/>
        <v>458000</v>
      </c>
      <c r="H30" s="281" t="s">
        <v>430</v>
      </c>
    </row>
    <row r="31" spans="1:8" s="22" customFormat="1" ht="16.5" customHeight="1" x14ac:dyDescent="0.3">
      <c r="A31" s="59"/>
      <c r="B31" s="127" t="s">
        <v>500</v>
      </c>
      <c r="C31" s="195" t="s">
        <v>488</v>
      </c>
      <c r="D31" s="151">
        <v>0</v>
      </c>
      <c r="E31" s="151">
        <v>0</v>
      </c>
      <c r="F31" s="151">
        <v>1087750</v>
      </c>
      <c r="G31" s="151">
        <f t="shared" si="3"/>
        <v>1087750</v>
      </c>
      <c r="H31" s="281" t="s">
        <v>430</v>
      </c>
    </row>
    <row r="32" spans="1:8" s="22" customFormat="1" ht="16.5" customHeight="1" x14ac:dyDescent="0.3">
      <c r="A32" s="59"/>
      <c r="B32" s="127" t="s">
        <v>503</v>
      </c>
      <c r="C32" s="195" t="s">
        <v>489</v>
      </c>
      <c r="D32" s="151">
        <v>0</v>
      </c>
      <c r="E32" s="151">
        <v>0</v>
      </c>
      <c r="F32" s="151">
        <v>2061000</v>
      </c>
      <c r="G32" s="151">
        <f t="shared" si="3"/>
        <v>2061000</v>
      </c>
      <c r="H32" s="281" t="s">
        <v>430</v>
      </c>
    </row>
    <row r="33" spans="1:10" s="22" customFormat="1" ht="16.5" customHeight="1" x14ac:dyDescent="0.3">
      <c r="A33" s="59"/>
      <c r="B33" s="127" t="s">
        <v>504</v>
      </c>
      <c r="C33" s="195" t="s">
        <v>490</v>
      </c>
      <c r="D33" s="151">
        <v>0</v>
      </c>
      <c r="E33" s="151">
        <v>0</v>
      </c>
      <c r="F33" s="151">
        <v>2576250</v>
      </c>
      <c r="G33" s="151">
        <f t="shared" si="3"/>
        <v>2576250</v>
      </c>
      <c r="H33" s="281" t="s">
        <v>430</v>
      </c>
    </row>
    <row r="34" spans="1:10" s="22" customFormat="1" ht="16.5" customHeight="1" x14ac:dyDescent="0.3">
      <c r="A34" s="59"/>
      <c r="B34" s="127" t="s">
        <v>505</v>
      </c>
      <c r="C34" s="195" t="s">
        <v>491</v>
      </c>
      <c r="D34" s="151">
        <v>0</v>
      </c>
      <c r="E34" s="151">
        <v>0</v>
      </c>
      <c r="F34" s="151">
        <v>458000</v>
      </c>
      <c r="G34" s="151">
        <f t="shared" si="3"/>
        <v>458000</v>
      </c>
      <c r="H34" s="281" t="s">
        <v>430</v>
      </c>
    </row>
    <row r="35" spans="1:10" s="22" customFormat="1" ht="16.5" customHeight="1" x14ac:dyDescent="0.3">
      <c r="A35" s="59"/>
      <c r="B35" s="127" t="s">
        <v>506</v>
      </c>
      <c r="C35" s="195" t="s">
        <v>492</v>
      </c>
      <c r="D35" s="151">
        <v>0</v>
      </c>
      <c r="E35" s="151">
        <v>0</v>
      </c>
      <c r="F35" s="151">
        <v>171750</v>
      </c>
      <c r="G35" s="151">
        <f t="shared" si="3"/>
        <v>171750</v>
      </c>
      <c r="H35" s="281" t="s">
        <v>430</v>
      </c>
    </row>
    <row r="36" spans="1:10" s="22" customFormat="1" ht="16.5" customHeight="1" x14ac:dyDescent="0.3">
      <c r="A36" s="59"/>
      <c r="B36" s="127" t="s">
        <v>507</v>
      </c>
      <c r="C36" s="195" t="s">
        <v>493</v>
      </c>
      <c r="D36" s="151">
        <v>0</v>
      </c>
      <c r="E36" s="151">
        <v>0</v>
      </c>
      <c r="F36" s="151">
        <v>572500</v>
      </c>
      <c r="G36" s="151">
        <f t="shared" si="3"/>
        <v>572500</v>
      </c>
      <c r="H36" s="281" t="s">
        <v>430</v>
      </c>
    </row>
    <row r="37" spans="1:10" s="22" customFormat="1" ht="21.6" x14ac:dyDescent="0.3">
      <c r="A37" s="59"/>
      <c r="B37" s="127" t="s">
        <v>508</v>
      </c>
      <c r="C37" s="195" t="s">
        <v>494</v>
      </c>
      <c r="D37" s="151">
        <v>0</v>
      </c>
      <c r="E37" s="151">
        <v>0</v>
      </c>
      <c r="F37" s="151">
        <f>458000+9775</f>
        <v>467775</v>
      </c>
      <c r="G37" s="151">
        <f t="shared" si="3"/>
        <v>467775</v>
      </c>
      <c r="H37" s="281" t="s">
        <v>430</v>
      </c>
    </row>
    <row r="38" spans="1:10" s="22" customFormat="1" ht="16.5" customHeight="1" x14ac:dyDescent="0.3">
      <c r="A38" s="59"/>
      <c r="B38" s="127" t="s">
        <v>532</v>
      </c>
      <c r="C38" s="122" t="s">
        <v>245</v>
      </c>
      <c r="D38" s="126">
        <v>30000000</v>
      </c>
      <c r="E38" s="126">
        <v>0</v>
      </c>
      <c r="F38" s="75">
        <v>95000000</v>
      </c>
      <c r="G38" s="75">
        <f>D38+F38</f>
        <v>125000000</v>
      </c>
      <c r="H38" s="281" t="s">
        <v>430</v>
      </c>
      <c r="J38" s="232"/>
    </row>
    <row r="39" spans="1:10" s="22" customFormat="1" ht="21.75" customHeight="1" thickBot="1" x14ac:dyDescent="0.35">
      <c r="A39" s="59"/>
      <c r="B39" s="127" t="s">
        <v>531</v>
      </c>
      <c r="C39" s="273" t="s">
        <v>246</v>
      </c>
      <c r="D39" s="151">
        <v>0</v>
      </c>
      <c r="E39" s="151">
        <v>0</v>
      </c>
      <c r="F39" s="151">
        <v>25000000</v>
      </c>
      <c r="G39" s="151">
        <f>D39+F39</f>
        <v>25000000</v>
      </c>
      <c r="H39" s="281" t="s">
        <v>430</v>
      </c>
    </row>
    <row r="40" spans="1:10" s="22" customFormat="1" ht="23.25" customHeight="1" thickBot="1" x14ac:dyDescent="0.35">
      <c r="A40" s="137"/>
      <c r="B40" s="138"/>
      <c r="C40" s="88" t="s">
        <v>307</v>
      </c>
      <c r="D40" s="139">
        <f>SUM(D21:D39)</f>
        <v>202000000</v>
      </c>
      <c r="E40" s="139">
        <f>SUM(E21:E39)</f>
        <v>152190000</v>
      </c>
      <c r="F40" s="139">
        <f>SUM(F21:F39)</f>
        <v>152190000</v>
      </c>
      <c r="G40" s="139">
        <f>SUM(G21:G39)</f>
        <v>202000000</v>
      </c>
      <c r="H40" s="282"/>
      <c r="J40" s="339">
        <f>E40-F40</f>
        <v>0</v>
      </c>
    </row>
    <row r="41" spans="1:10" s="22" customFormat="1" ht="6.75" customHeight="1" x14ac:dyDescent="0.3">
      <c r="A41" s="152"/>
      <c r="B41" s="153"/>
      <c r="C41" s="184"/>
      <c r="D41" s="207"/>
      <c r="E41" s="207"/>
      <c r="F41" s="207"/>
      <c r="G41" s="207"/>
      <c r="H41" s="284"/>
    </row>
    <row r="42" spans="1:10" s="22" customFormat="1" ht="23.25" customHeight="1" x14ac:dyDescent="0.3">
      <c r="A42" s="59" t="s">
        <v>614</v>
      </c>
      <c r="B42" s="127"/>
      <c r="C42" s="98" t="s">
        <v>616</v>
      </c>
      <c r="D42" s="205"/>
      <c r="E42" s="205"/>
      <c r="F42" s="205"/>
      <c r="G42" s="205"/>
      <c r="H42" s="281"/>
    </row>
    <row r="43" spans="1:10" s="22" customFormat="1" ht="23.25" customHeight="1" x14ac:dyDescent="0.3">
      <c r="A43" s="59"/>
      <c r="B43" s="127" t="s">
        <v>619</v>
      </c>
      <c r="C43" s="122" t="s">
        <v>618</v>
      </c>
      <c r="D43" s="75">
        <v>10000000</v>
      </c>
      <c r="E43" s="75">
        <v>0</v>
      </c>
      <c r="F43" s="75">
        <v>5000000</v>
      </c>
      <c r="G43" s="151">
        <f>D43+F43</f>
        <v>15000000</v>
      </c>
      <c r="H43" s="75" t="s">
        <v>240</v>
      </c>
    </row>
    <row r="44" spans="1:10" s="22" customFormat="1" ht="23.25" customHeight="1" thickBot="1" x14ac:dyDescent="0.35">
      <c r="A44" s="120"/>
      <c r="B44" s="128" t="s">
        <v>621</v>
      </c>
      <c r="C44" s="129" t="s">
        <v>620</v>
      </c>
      <c r="D44" s="131">
        <v>50000000</v>
      </c>
      <c r="E44" s="131">
        <v>5000000</v>
      </c>
      <c r="F44" s="131">
        <v>0</v>
      </c>
      <c r="G44" s="229">
        <f>D44+F44-E44</f>
        <v>45000000</v>
      </c>
      <c r="H44" s="131" t="s">
        <v>339</v>
      </c>
    </row>
    <row r="45" spans="1:10" s="22" customFormat="1" ht="21" thickBot="1" x14ac:dyDescent="0.35">
      <c r="A45" s="137"/>
      <c r="B45" s="138"/>
      <c r="C45" s="88" t="s">
        <v>617</v>
      </c>
      <c r="D45" s="139">
        <f t="shared" ref="D45:F45" si="4">SUM(D43:D44)</f>
        <v>60000000</v>
      </c>
      <c r="E45" s="139">
        <f t="shared" si="4"/>
        <v>5000000</v>
      </c>
      <c r="F45" s="139">
        <f t="shared" si="4"/>
        <v>5000000</v>
      </c>
      <c r="G45" s="139">
        <f>SUM(G43:G44)</f>
        <v>60000000</v>
      </c>
      <c r="H45" s="282"/>
    </row>
    <row r="46" spans="1:10" s="22" customFormat="1" ht="6.75" customHeight="1" x14ac:dyDescent="0.3">
      <c r="A46" s="59"/>
      <c r="B46" s="127"/>
      <c r="C46" s="98"/>
      <c r="D46" s="205"/>
      <c r="E46" s="205"/>
      <c r="F46" s="205"/>
      <c r="G46" s="205"/>
      <c r="H46" s="281"/>
    </row>
    <row r="47" spans="1:10" s="22" customFormat="1" ht="24.75" customHeight="1" x14ac:dyDescent="0.3">
      <c r="A47" s="59" t="s">
        <v>183</v>
      </c>
      <c r="B47" s="127"/>
      <c r="C47" s="98" t="s">
        <v>184</v>
      </c>
      <c r="D47" s="126"/>
      <c r="E47" s="126"/>
      <c r="F47" s="75"/>
      <c r="G47" s="75"/>
      <c r="H47" s="281"/>
    </row>
    <row r="48" spans="1:10" s="22" customFormat="1" ht="16.5" customHeight="1" thickBot="1" x14ac:dyDescent="0.35">
      <c r="A48" s="120"/>
      <c r="B48" s="128" t="s">
        <v>473</v>
      </c>
      <c r="C48" s="129" t="s">
        <v>472</v>
      </c>
      <c r="D48" s="130">
        <v>614810000</v>
      </c>
      <c r="E48" s="130"/>
      <c r="F48" s="131">
        <f>550000000+37464830</f>
        <v>587464830</v>
      </c>
      <c r="G48" s="131">
        <f>D48+F48</f>
        <v>1202274830</v>
      </c>
      <c r="H48" s="283" t="s">
        <v>430</v>
      </c>
      <c r="J48" s="339"/>
    </row>
    <row r="49" spans="1:8" s="22" customFormat="1" ht="21" thickBot="1" x14ac:dyDescent="0.35">
      <c r="A49" s="137"/>
      <c r="B49" s="138"/>
      <c r="C49" s="88" t="s">
        <v>713</v>
      </c>
      <c r="D49" s="140">
        <f>SUM(D48)</f>
        <v>614810000</v>
      </c>
      <c r="E49" s="140">
        <f t="shared" ref="E49:G49" si="5">SUM(E48)</f>
        <v>0</v>
      </c>
      <c r="F49" s="140">
        <f t="shared" si="5"/>
        <v>587464830</v>
      </c>
      <c r="G49" s="140">
        <f t="shared" si="5"/>
        <v>1202274830</v>
      </c>
      <c r="H49" s="282"/>
    </row>
    <row r="50" spans="1:8" s="22" customFormat="1" ht="6.75" customHeight="1" x14ac:dyDescent="0.3">
      <c r="A50" s="132"/>
      <c r="B50" s="133"/>
      <c r="C50" s="134"/>
      <c r="D50" s="144"/>
      <c r="E50" s="144"/>
      <c r="F50" s="149"/>
      <c r="G50" s="124"/>
      <c r="H50" s="284"/>
    </row>
    <row r="51" spans="1:8" s="22" customFormat="1" x14ac:dyDescent="0.3">
      <c r="A51" s="59" t="s">
        <v>412</v>
      </c>
      <c r="B51" s="127"/>
      <c r="C51" s="98" t="s">
        <v>413</v>
      </c>
      <c r="D51" s="126"/>
      <c r="E51" s="126"/>
      <c r="F51" s="75"/>
      <c r="G51" s="124"/>
      <c r="H51" s="284"/>
    </row>
    <row r="52" spans="1:8" s="22" customFormat="1" ht="20.399999999999999" x14ac:dyDescent="0.3">
      <c r="A52" s="59"/>
      <c r="B52" s="127" t="s">
        <v>414</v>
      </c>
      <c r="C52" s="122" t="s">
        <v>415</v>
      </c>
      <c r="D52" s="126">
        <v>200000000</v>
      </c>
      <c r="E52" s="151">
        <v>0</v>
      </c>
      <c r="F52" s="75">
        <v>350000000</v>
      </c>
      <c r="G52" s="75">
        <f>D52+F52</f>
        <v>550000000</v>
      </c>
      <c r="H52" s="285" t="s">
        <v>423</v>
      </c>
    </row>
    <row r="53" spans="1:8" s="22" customFormat="1" ht="21" thickBot="1" x14ac:dyDescent="0.35">
      <c r="A53" s="120"/>
      <c r="B53" s="128" t="s">
        <v>416</v>
      </c>
      <c r="C53" s="129" t="s">
        <v>417</v>
      </c>
      <c r="D53" s="130">
        <v>325000000</v>
      </c>
      <c r="E53" s="151">
        <v>0</v>
      </c>
      <c r="F53" s="131">
        <f>750000000+845005420</f>
        <v>1595005420</v>
      </c>
      <c r="G53" s="131">
        <f>D53+F53</f>
        <v>1920005420</v>
      </c>
      <c r="H53" s="285" t="s">
        <v>423</v>
      </c>
    </row>
    <row r="54" spans="1:8" s="22" customFormat="1" ht="21" customHeight="1" thickBot="1" x14ac:dyDescent="0.35">
      <c r="A54" s="137"/>
      <c r="B54" s="138"/>
      <c r="C54" s="88" t="s">
        <v>418</v>
      </c>
      <c r="D54" s="140">
        <f>SUM(D52:D53)</f>
        <v>525000000</v>
      </c>
      <c r="E54" s="140"/>
      <c r="F54" s="140">
        <f t="shared" ref="F54:G54" si="6">SUM(F52:F53)</f>
        <v>1945005420</v>
      </c>
      <c r="G54" s="140">
        <f t="shared" si="6"/>
        <v>2470005420</v>
      </c>
      <c r="H54" s="282"/>
    </row>
    <row r="55" spans="1:8" s="22" customFormat="1" ht="6.75" customHeight="1" x14ac:dyDescent="0.3">
      <c r="A55" s="152"/>
      <c r="B55" s="153"/>
      <c r="C55" s="154"/>
      <c r="D55" s="135"/>
      <c r="E55" s="135"/>
      <c r="F55" s="136"/>
      <c r="G55" s="124"/>
      <c r="H55" s="284"/>
    </row>
    <row r="56" spans="1:8" s="22" customFormat="1" ht="16.5" customHeight="1" x14ac:dyDescent="0.3">
      <c r="A56" s="59" t="s">
        <v>109</v>
      </c>
      <c r="B56" s="153"/>
      <c r="C56" s="184" t="s">
        <v>26</v>
      </c>
      <c r="D56" s="135"/>
      <c r="E56" s="135"/>
      <c r="F56" s="136"/>
      <c r="G56" s="124"/>
      <c r="H56" s="284"/>
    </row>
    <row r="57" spans="1:8" s="22" customFormat="1" ht="16.5" customHeight="1" x14ac:dyDescent="0.3">
      <c r="A57" s="59"/>
      <c r="B57" s="127" t="s">
        <v>475</v>
      </c>
      <c r="C57" s="215" t="s">
        <v>463</v>
      </c>
      <c r="D57" s="126">
        <v>2500000000</v>
      </c>
      <c r="E57" s="151">
        <v>0</v>
      </c>
      <c r="F57" s="75">
        <v>3000000000</v>
      </c>
      <c r="G57" s="75">
        <f>D57+F57</f>
        <v>5500000000</v>
      </c>
      <c r="H57" s="278" t="s">
        <v>240</v>
      </c>
    </row>
    <row r="58" spans="1:8" s="22" customFormat="1" ht="20.399999999999999" x14ac:dyDescent="0.3">
      <c r="A58" s="59"/>
      <c r="B58" s="127" t="s">
        <v>421</v>
      </c>
      <c r="C58" s="122" t="s">
        <v>422</v>
      </c>
      <c r="D58" s="126">
        <v>100000000</v>
      </c>
      <c r="E58" s="151">
        <v>0</v>
      </c>
      <c r="F58" s="75">
        <v>60000000</v>
      </c>
      <c r="G58" s="75">
        <f>D58+F58</f>
        <v>160000000</v>
      </c>
      <c r="H58" s="285" t="s">
        <v>423</v>
      </c>
    </row>
    <row r="59" spans="1:8" s="22" customFormat="1" ht="15" thickBot="1" x14ac:dyDescent="0.35">
      <c r="A59" s="120"/>
      <c r="B59" s="127" t="s">
        <v>1151</v>
      </c>
      <c r="C59" s="129" t="s">
        <v>1152</v>
      </c>
      <c r="D59" s="130">
        <v>0</v>
      </c>
      <c r="E59" s="229">
        <v>0</v>
      </c>
      <c r="F59" s="131">
        <v>960000000</v>
      </c>
      <c r="G59" s="75">
        <f>D59+F59</f>
        <v>960000000</v>
      </c>
      <c r="H59" s="286" t="s">
        <v>240</v>
      </c>
    </row>
    <row r="60" spans="1:8" s="22" customFormat="1" ht="16.5" customHeight="1" thickBot="1" x14ac:dyDescent="0.35">
      <c r="A60" s="137"/>
      <c r="B60" s="138"/>
      <c r="C60" s="88" t="s">
        <v>420</v>
      </c>
      <c r="D60" s="139">
        <f>SUM(D57:D59)</f>
        <v>2600000000</v>
      </c>
      <c r="E60" s="139">
        <f t="shared" ref="E60:G60" si="7">SUM(E57:E59)</f>
        <v>0</v>
      </c>
      <c r="F60" s="139">
        <f t="shared" si="7"/>
        <v>4020000000</v>
      </c>
      <c r="G60" s="139">
        <f t="shared" si="7"/>
        <v>6620000000</v>
      </c>
      <c r="H60" s="282"/>
    </row>
    <row r="61" spans="1:8" s="22" customFormat="1" ht="6" customHeight="1" x14ac:dyDescent="0.3">
      <c r="A61" s="152"/>
      <c r="B61" s="153"/>
      <c r="C61" s="184"/>
      <c r="D61" s="207"/>
      <c r="E61" s="207"/>
      <c r="F61" s="207"/>
      <c r="G61" s="207"/>
      <c r="H61" s="284"/>
    </row>
    <row r="62" spans="1:8" s="22" customFormat="1" ht="24" customHeight="1" x14ac:dyDescent="0.3">
      <c r="A62" s="152" t="s">
        <v>117</v>
      </c>
      <c r="B62" s="153"/>
      <c r="C62" s="184" t="s">
        <v>27</v>
      </c>
      <c r="D62" s="135"/>
      <c r="E62" s="135"/>
      <c r="F62" s="136"/>
      <c r="G62" s="124"/>
      <c r="H62" s="284"/>
    </row>
    <row r="63" spans="1:8" s="22" customFormat="1" ht="34.5" customHeight="1" x14ac:dyDescent="0.3">
      <c r="A63" s="59"/>
      <c r="B63" s="127" t="s">
        <v>280</v>
      </c>
      <c r="C63" s="122" t="s">
        <v>281</v>
      </c>
      <c r="D63" s="126">
        <v>10800000</v>
      </c>
      <c r="E63" s="151">
        <v>0</v>
      </c>
      <c r="F63" s="136">
        <v>5000000</v>
      </c>
      <c r="G63" s="75">
        <f>D63+F63</f>
        <v>15800000</v>
      </c>
      <c r="H63" s="281" t="s">
        <v>240</v>
      </c>
    </row>
    <row r="64" spans="1:8" s="22" customFormat="1" ht="16.5" customHeight="1" x14ac:dyDescent="0.3">
      <c r="A64" s="59"/>
      <c r="B64" s="127" t="s">
        <v>406</v>
      </c>
      <c r="C64" s="122" t="s">
        <v>407</v>
      </c>
      <c r="D64" s="126">
        <v>1600000</v>
      </c>
      <c r="E64" s="151">
        <v>0</v>
      </c>
      <c r="F64" s="136">
        <v>12000000</v>
      </c>
      <c r="G64" s="75">
        <f>D64+F64</f>
        <v>13600000</v>
      </c>
      <c r="H64" s="278" t="s">
        <v>240</v>
      </c>
    </row>
    <row r="65" spans="1:10" s="22" customFormat="1" ht="16.5" customHeight="1" x14ac:dyDescent="0.3">
      <c r="A65" s="59"/>
      <c r="B65" s="127" t="s">
        <v>282</v>
      </c>
      <c r="C65" s="122" t="s">
        <v>283</v>
      </c>
      <c r="D65" s="126">
        <v>2550000</v>
      </c>
      <c r="E65" s="151">
        <v>0</v>
      </c>
      <c r="F65" s="136">
        <v>5000000</v>
      </c>
      <c r="G65" s="75">
        <f>D65+F65</f>
        <v>7550000</v>
      </c>
      <c r="H65" s="281" t="s">
        <v>240</v>
      </c>
    </row>
    <row r="66" spans="1:10" s="22" customFormat="1" ht="16.5" customHeight="1" x14ac:dyDescent="0.3">
      <c r="A66" s="59"/>
      <c r="B66" s="127" t="s">
        <v>613</v>
      </c>
      <c r="C66" s="122" t="s">
        <v>518</v>
      </c>
      <c r="D66" s="126">
        <v>2000000</v>
      </c>
      <c r="E66" s="151">
        <v>0</v>
      </c>
      <c r="F66" s="136">
        <v>5000000</v>
      </c>
      <c r="G66" s="75">
        <f>D66+F66</f>
        <v>7000000</v>
      </c>
      <c r="H66" s="278" t="s">
        <v>240</v>
      </c>
    </row>
    <row r="67" spans="1:10" s="22" customFormat="1" ht="16.5" customHeight="1" x14ac:dyDescent="0.3">
      <c r="A67" s="59"/>
      <c r="B67" s="127" t="s">
        <v>284</v>
      </c>
      <c r="C67" s="122" t="s">
        <v>285</v>
      </c>
      <c r="D67" s="126">
        <v>1250000</v>
      </c>
      <c r="E67" s="151">
        <v>0</v>
      </c>
      <c r="F67" s="136">
        <v>2000000</v>
      </c>
      <c r="G67" s="75">
        <f>D67+F67</f>
        <v>3250000</v>
      </c>
      <c r="H67" s="281" t="s">
        <v>240</v>
      </c>
    </row>
    <row r="68" spans="1:10" s="22" customFormat="1" ht="16.5" customHeight="1" thickBot="1" x14ac:dyDescent="0.35">
      <c r="A68" s="59"/>
      <c r="B68" s="127" t="s">
        <v>286</v>
      </c>
      <c r="C68" s="122" t="s">
        <v>408</v>
      </c>
      <c r="D68" s="126">
        <v>44100000</v>
      </c>
      <c r="E68" s="151">
        <v>29000000</v>
      </c>
      <c r="F68" s="136">
        <v>0</v>
      </c>
      <c r="G68" s="75">
        <f>D68+F68-E68</f>
        <v>15100000</v>
      </c>
      <c r="H68" s="281" t="s">
        <v>339</v>
      </c>
    </row>
    <row r="69" spans="1:10" s="22" customFormat="1" ht="21.75" customHeight="1" thickBot="1" x14ac:dyDescent="0.35">
      <c r="A69" s="137"/>
      <c r="B69" s="138"/>
      <c r="C69" s="88" t="s">
        <v>315</v>
      </c>
      <c r="D69" s="139">
        <f>SUM(D63:D68)</f>
        <v>62300000</v>
      </c>
      <c r="E69" s="139">
        <f>SUM(E63:E68)</f>
        <v>29000000</v>
      </c>
      <c r="F69" s="139">
        <f>SUM(F63:F68)</f>
        <v>29000000</v>
      </c>
      <c r="G69" s="139">
        <f>SUM(G63:G68)</f>
        <v>62300000</v>
      </c>
      <c r="H69" s="282"/>
    </row>
    <row r="70" spans="1:10" s="22" customFormat="1" ht="6.75" customHeight="1" x14ac:dyDescent="0.3">
      <c r="A70" s="152"/>
      <c r="B70" s="153"/>
      <c r="C70" s="184"/>
      <c r="D70" s="206"/>
      <c r="E70" s="206"/>
      <c r="F70" s="206"/>
      <c r="G70" s="206"/>
      <c r="H70" s="284"/>
    </row>
    <row r="71" spans="1:10" s="22" customFormat="1" ht="21.75" customHeight="1" x14ac:dyDescent="0.3">
      <c r="A71" s="59" t="s">
        <v>433</v>
      </c>
      <c r="B71" s="127"/>
      <c r="C71" s="98" t="s">
        <v>434</v>
      </c>
      <c r="D71" s="208"/>
      <c r="E71" s="208"/>
      <c r="F71" s="208"/>
      <c r="G71" s="208"/>
      <c r="H71" s="281"/>
    </row>
    <row r="72" spans="1:10" s="22" customFormat="1" ht="16.5" customHeight="1" x14ac:dyDescent="0.3">
      <c r="A72" s="59"/>
      <c r="B72" s="127" t="s">
        <v>435</v>
      </c>
      <c r="C72" s="122" t="s">
        <v>436</v>
      </c>
      <c r="D72" s="75">
        <v>1500000</v>
      </c>
      <c r="E72" s="151">
        <v>0</v>
      </c>
      <c r="F72" s="75">
        <v>1500000</v>
      </c>
      <c r="G72" s="75">
        <f t="shared" ref="G72:G86" si="8">D72+F72-E72</f>
        <v>3000000</v>
      </c>
      <c r="H72" s="281" t="s">
        <v>240</v>
      </c>
    </row>
    <row r="73" spans="1:10" s="22" customFormat="1" ht="51" x14ac:dyDescent="0.3">
      <c r="A73" s="59"/>
      <c r="B73" s="127" t="s">
        <v>437</v>
      </c>
      <c r="C73" s="122" t="s">
        <v>438</v>
      </c>
      <c r="D73" s="75">
        <v>20000000</v>
      </c>
      <c r="E73" s="151">
        <v>0</v>
      </c>
      <c r="F73" s="75">
        <v>7500000</v>
      </c>
      <c r="G73" s="75">
        <f t="shared" si="8"/>
        <v>27500000</v>
      </c>
      <c r="H73" s="281" t="s">
        <v>240</v>
      </c>
    </row>
    <row r="74" spans="1:10" s="22" customFormat="1" ht="40.799999999999997" x14ac:dyDescent="0.3">
      <c r="A74" s="59"/>
      <c r="B74" s="127" t="s">
        <v>439</v>
      </c>
      <c r="C74" s="122" t="s">
        <v>441</v>
      </c>
      <c r="D74" s="75">
        <v>7000000</v>
      </c>
      <c r="E74" s="151">
        <v>0</v>
      </c>
      <c r="F74" s="75">
        <v>6000000</v>
      </c>
      <c r="G74" s="75">
        <f t="shared" si="8"/>
        <v>13000000</v>
      </c>
      <c r="H74" s="281" t="s">
        <v>240</v>
      </c>
    </row>
    <row r="75" spans="1:10" s="22" customFormat="1" ht="21.75" customHeight="1" x14ac:dyDescent="0.3">
      <c r="A75" s="59"/>
      <c r="B75" s="127" t="s">
        <v>440</v>
      </c>
      <c r="C75" s="122" t="s">
        <v>442</v>
      </c>
      <c r="D75" s="75">
        <v>5000000</v>
      </c>
      <c r="E75" s="151">
        <v>0</v>
      </c>
      <c r="F75" s="75">
        <v>10000000</v>
      </c>
      <c r="G75" s="75">
        <f t="shared" si="8"/>
        <v>15000000</v>
      </c>
      <c r="H75" s="281" t="s">
        <v>240</v>
      </c>
    </row>
    <row r="76" spans="1:10" s="22" customFormat="1" ht="21.75" customHeight="1" x14ac:dyDescent="0.3">
      <c r="A76" s="59"/>
      <c r="B76" s="127" t="s">
        <v>444</v>
      </c>
      <c r="C76" s="122" t="s">
        <v>443</v>
      </c>
      <c r="D76" s="75">
        <v>5000000</v>
      </c>
      <c r="E76" s="151">
        <v>0</v>
      </c>
      <c r="F76" s="75">
        <v>5000000</v>
      </c>
      <c r="G76" s="75">
        <f t="shared" si="8"/>
        <v>10000000</v>
      </c>
      <c r="H76" s="281" t="s">
        <v>240</v>
      </c>
    </row>
    <row r="77" spans="1:10" s="22" customFormat="1" ht="21.75" customHeight="1" x14ac:dyDescent="0.3">
      <c r="A77" s="59"/>
      <c r="B77" s="127" t="s">
        <v>549</v>
      </c>
      <c r="C77" s="274" t="s">
        <v>445</v>
      </c>
      <c r="D77" s="151">
        <v>0</v>
      </c>
      <c r="E77" s="151">
        <v>0</v>
      </c>
      <c r="F77" s="151">
        <v>10000000</v>
      </c>
      <c r="G77" s="75">
        <f t="shared" si="8"/>
        <v>10000000</v>
      </c>
      <c r="H77" s="281" t="s">
        <v>240</v>
      </c>
    </row>
    <row r="78" spans="1:10" s="22" customFormat="1" ht="21.75" customHeight="1" x14ac:dyDescent="0.3">
      <c r="A78" s="59"/>
      <c r="B78" s="127" t="s">
        <v>447</v>
      </c>
      <c r="C78" s="122" t="s">
        <v>446</v>
      </c>
      <c r="D78" s="75">
        <v>5000000</v>
      </c>
      <c r="E78" s="151">
        <v>0</v>
      </c>
      <c r="F78" s="75">
        <v>5000000</v>
      </c>
      <c r="G78" s="75">
        <f t="shared" si="8"/>
        <v>10000000</v>
      </c>
      <c r="H78" s="281" t="s">
        <v>240</v>
      </c>
    </row>
    <row r="79" spans="1:10" s="22" customFormat="1" ht="21.75" customHeight="1" x14ac:dyDescent="0.3">
      <c r="A79" s="59"/>
      <c r="B79" s="190" t="s">
        <v>349</v>
      </c>
      <c r="C79" s="195" t="s">
        <v>350</v>
      </c>
      <c r="D79" s="63">
        <v>100000000</v>
      </c>
      <c r="E79" s="63">
        <v>40000000</v>
      </c>
      <c r="F79" s="75">
        <v>0</v>
      </c>
      <c r="G79" s="75">
        <f t="shared" si="8"/>
        <v>60000000</v>
      </c>
      <c r="H79" s="281" t="s">
        <v>339</v>
      </c>
    </row>
    <row r="80" spans="1:10" s="22" customFormat="1" ht="21.75" customHeight="1" x14ac:dyDescent="0.3">
      <c r="A80" s="59"/>
      <c r="B80" s="190" t="s">
        <v>353</v>
      </c>
      <c r="C80" s="122" t="s">
        <v>352</v>
      </c>
      <c r="D80" s="63">
        <v>40000000</v>
      </c>
      <c r="E80" s="63">
        <v>17000000</v>
      </c>
      <c r="F80" s="75">
        <v>0</v>
      </c>
      <c r="G80" s="75">
        <f t="shared" si="8"/>
        <v>23000000</v>
      </c>
      <c r="H80" s="281" t="s">
        <v>339</v>
      </c>
      <c r="J80" s="315"/>
    </row>
    <row r="81" spans="1:9" s="22" customFormat="1" ht="21.75" customHeight="1" x14ac:dyDescent="0.3">
      <c r="A81" s="59"/>
      <c r="B81" s="127" t="s">
        <v>448</v>
      </c>
      <c r="C81" s="122" t="s">
        <v>449</v>
      </c>
      <c r="D81" s="63">
        <v>30000000</v>
      </c>
      <c r="E81" s="63">
        <v>10000000</v>
      </c>
      <c r="F81" s="75">
        <v>0</v>
      </c>
      <c r="G81" s="75">
        <f t="shared" si="8"/>
        <v>20000000</v>
      </c>
      <c r="H81" s="281" t="s">
        <v>339</v>
      </c>
    </row>
    <row r="82" spans="1:9" s="22" customFormat="1" ht="21.75" customHeight="1" x14ac:dyDescent="0.3">
      <c r="A82" s="59"/>
      <c r="B82" s="190" t="s">
        <v>451</v>
      </c>
      <c r="C82" s="122" t="s">
        <v>450</v>
      </c>
      <c r="D82" s="63">
        <v>20000000</v>
      </c>
      <c r="E82" s="63">
        <v>10000000</v>
      </c>
      <c r="F82" s="75">
        <v>0</v>
      </c>
      <c r="G82" s="75">
        <f t="shared" si="8"/>
        <v>10000000</v>
      </c>
      <c r="H82" s="281" t="s">
        <v>339</v>
      </c>
    </row>
    <row r="83" spans="1:9" s="22" customFormat="1" ht="21.75" customHeight="1" x14ac:dyDescent="0.3">
      <c r="A83" s="59"/>
      <c r="B83" s="190" t="s">
        <v>453</v>
      </c>
      <c r="C83" s="122" t="s">
        <v>452</v>
      </c>
      <c r="D83" s="63">
        <v>10000000</v>
      </c>
      <c r="E83" s="63">
        <v>5000000</v>
      </c>
      <c r="F83" s="75">
        <v>0</v>
      </c>
      <c r="G83" s="75">
        <f t="shared" si="8"/>
        <v>5000000</v>
      </c>
      <c r="H83" s="281" t="s">
        <v>339</v>
      </c>
    </row>
    <row r="84" spans="1:9" s="22" customFormat="1" ht="21.75" customHeight="1" x14ac:dyDescent="0.3">
      <c r="A84" s="59"/>
      <c r="B84" s="190" t="s">
        <v>455</v>
      </c>
      <c r="C84" s="122" t="s">
        <v>454</v>
      </c>
      <c r="D84" s="63">
        <v>10000000</v>
      </c>
      <c r="E84" s="63">
        <v>5000000</v>
      </c>
      <c r="F84" s="75">
        <v>0</v>
      </c>
      <c r="G84" s="75">
        <f t="shared" si="8"/>
        <v>5000000</v>
      </c>
      <c r="H84" s="281" t="s">
        <v>339</v>
      </c>
    </row>
    <row r="85" spans="1:9" s="22" customFormat="1" ht="21.75" customHeight="1" x14ac:dyDescent="0.3">
      <c r="A85" s="59"/>
      <c r="B85" s="127" t="s">
        <v>457</v>
      </c>
      <c r="C85" s="122" t="s">
        <v>456</v>
      </c>
      <c r="D85" s="63">
        <v>12000000</v>
      </c>
      <c r="E85" s="63">
        <v>5000000</v>
      </c>
      <c r="F85" s="75">
        <v>0</v>
      </c>
      <c r="G85" s="75">
        <f t="shared" si="8"/>
        <v>7000000</v>
      </c>
      <c r="H85" s="281" t="s">
        <v>339</v>
      </c>
    </row>
    <row r="86" spans="1:9" s="22" customFormat="1" ht="21.75" customHeight="1" thickBot="1" x14ac:dyDescent="0.35">
      <c r="A86" s="59"/>
      <c r="B86" s="190" t="s">
        <v>459</v>
      </c>
      <c r="C86" s="122" t="s">
        <v>458</v>
      </c>
      <c r="D86" s="63">
        <v>10000000</v>
      </c>
      <c r="E86" s="63">
        <v>5000000</v>
      </c>
      <c r="F86" s="75">
        <v>0</v>
      </c>
      <c r="G86" s="75">
        <f t="shared" si="8"/>
        <v>5000000</v>
      </c>
      <c r="H86" s="281" t="s">
        <v>339</v>
      </c>
    </row>
    <row r="87" spans="1:9" s="22" customFormat="1" ht="21.75" customHeight="1" thickBot="1" x14ac:dyDescent="0.35">
      <c r="A87" s="137"/>
      <c r="B87" s="138"/>
      <c r="C87" s="88" t="s">
        <v>460</v>
      </c>
      <c r="D87" s="139">
        <f>SUM(D72:D86)</f>
        <v>275500000</v>
      </c>
      <c r="E87" s="139">
        <f>SUM(E72:E86)</f>
        <v>97000000</v>
      </c>
      <c r="F87" s="139">
        <f>SUM(F72:F86)</f>
        <v>45000000</v>
      </c>
      <c r="G87" s="139">
        <f>SUM(G72:G86)</f>
        <v>223500000</v>
      </c>
      <c r="H87" s="282"/>
      <c r="I87" s="339"/>
    </row>
    <row r="88" spans="1:9" s="22" customFormat="1" ht="6.75" customHeight="1" x14ac:dyDescent="0.3">
      <c r="A88" s="132"/>
      <c r="B88" s="133"/>
      <c r="C88" s="134"/>
      <c r="D88" s="144"/>
      <c r="E88" s="144"/>
      <c r="F88" s="136"/>
      <c r="G88" s="124"/>
      <c r="H88" s="284"/>
    </row>
    <row r="89" spans="1:9" s="22" customFormat="1" ht="20.399999999999999" x14ac:dyDescent="0.3">
      <c r="A89" s="59" t="s">
        <v>62</v>
      </c>
      <c r="B89" s="127"/>
      <c r="C89" s="98" t="s">
        <v>51</v>
      </c>
      <c r="D89" s="126"/>
      <c r="E89" s="126"/>
      <c r="F89" s="136"/>
      <c r="G89" s="136"/>
      <c r="H89" s="284"/>
    </row>
    <row r="90" spans="1:9" s="22" customFormat="1" x14ac:dyDescent="0.3">
      <c r="A90" s="59"/>
      <c r="B90" s="127" t="s">
        <v>512</v>
      </c>
      <c r="C90" s="122" t="s">
        <v>513</v>
      </c>
      <c r="D90" s="126">
        <v>21112279989</v>
      </c>
      <c r="E90" s="126">
        <v>0</v>
      </c>
      <c r="F90" s="75">
        <v>2000000000</v>
      </c>
      <c r="G90" s="75">
        <f>D90+F90</f>
        <v>23112279989</v>
      </c>
      <c r="H90" s="281" t="s">
        <v>240</v>
      </c>
    </row>
    <row r="91" spans="1:9" s="22" customFormat="1" ht="21" thickBot="1" x14ac:dyDescent="0.35">
      <c r="A91" s="120"/>
      <c r="B91" s="128" t="s">
        <v>685</v>
      </c>
      <c r="C91" s="129" t="s">
        <v>684</v>
      </c>
      <c r="D91" s="130">
        <v>75000000</v>
      </c>
      <c r="E91" s="130"/>
      <c r="F91" s="131">
        <v>10000000</v>
      </c>
      <c r="G91" s="75">
        <f>D91+F91</f>
        <v>85000000</v>
      </c>
      <c r="H91" s="281" t="s">
        <v>240</v>
      </c>
    </row>
    <row r="92" spans="1:9" s="22" customFormat="1" ht="24.75" customHeight="1" thickBot="1" x14ac:dyDescent="0.35">
      <c r="A92" s="137"/>
      <c r="B92" s="138"/>
      <c r="C92" s="88" t="s">
        <v>514</v>
      </c>
      <c r="D92" s="150">
        <f>SUM(D90:D91)</f>
        <v>21187279989</v>
      </c>
      <c r="E92" s="150">
        <f t="shared" ref="E92:G92" si="9">SUM(E90:E91)</f>
        <v>0</v>
      </c>
      <c r="F92" s="150">
        <f t="shared" si="9"/>
        <v>2010000000</v>
      </c>
      <c r="G92" s="150">
        <f t="shared" si="9"/>
        <v>23197279989</v>
      </c>
      <c r="H92" s="282"/>
    </row>
    <row r="93" spans="1:9" s="22" customFormat="1" ht="7.5" customHeight="1" x14ac:dyDescent="0.3">
      <c r="A93" s="152"/>
      <c r="B93" s="153"/>
      <c r="C93" s="154"/>
      <c r="D93" s="135"/>
      <c r="E93" s="135"/>
      <c r="F93" s="136"/>
      <c r="G93" s="124"/>
      <c r="H93" s="284"/>
    </row>
    <row r="94" spans="1:9" s="22" customFormat="1" ht="20.399999999999999" x14ac:dyDescent="0.3">
      <c r="A94" s="59"/>
      <c r="B94" s="127"/>
      <c r="C94" s="98" t="s">
        <v>29</v>
      </c>
      <c r="D94" s="126"/>
      <c r="E94" s="126"/>
      <c r="F94" s="75"/>
      <c r="G94" s="125"/>
      <c r="H94" s="281"/>
    </row>
    <row r="95" spans="1:9" s="22" customFormat="1" x14ac:dyDescent="0.3">
      <c r="A95" s="59"/>
      <c r="B95" s="127" t="s">
        <v>608</v>
      </c>
      <c r="C95" s="122" t="s">
        <v>609</v>
      </c>
      <c r="D95" s="126">
        <v>10000000</v>
      </c>
      <c r="E95" s="126">
        <v>0</v>
      </c>
      <c r="F95" s="75">
        <v>100000000</v>
      </c>
      <c r="G95" s="75">
        <f>D95+F95-E95</f>
        <v>110000000</v>
      </c>
      <c r="H95" s="281"/>
    </row>
    <row r="96" spans="1:9" s="22" customFormat="1" ht="20.25" customHeight="1" x14ac:dyDescent="0.3">
      <c r="A96" s="59"/>
      <c r="B96" s="127" t="s">
        <v>529</v>
      </c>
      <c r="C96" s="122" t="s">
        <v>530</v>
      </c>
      <c r="D96" s="151">
        <v>0</v>
      </c>
      <c r="E96" s="151">
        <v>0</v>
      </c>
      <c r="F96" s="151">
        <v>350000000</v>
      </c>
      <c r="G96" s="75">
        <f>D96+F96-E96</f>
        <v>350000000</v>
      </c>
      <c r="H96" s="285" t="s">
        <v>464</v>
      </c>
    </row>
    <row r="97" spans="1:10" s="22" customFormat="1" ht="20.399999999999999" x14ac:dyDescent="0.3">
      <c r="A97" s="59"/>
      <c r="B97" s="190" t="s">
        <v>344</v>
      </c>
      <c r="C97" s="122" t="s">
        <v>345</v>
      </c>
      <c r="D97" s="63">
        <v>80688000</v>
      </c>
      <c r="E97" s="63">
        <v>50000000</v>
      </c>
      <c r="F97" s="151">
        <v>0</v>
      </c>
      <c r="G97" s="75">
        <f>D97+F97-E97</f>
        <v>30688000</v>
      </c>
      <c r="H97" s="281" t="s">
        <v>339</v>
      </c>
    </row>
    <row r="98" spans="1:10" s="22" customFormat="1" ht="20.399999999999999" x14ac:dyDescent="0.3">
      <c r="A98" s="59"/>
      <c r="B98" s="190" t="s">
        <v>347</v>
      </c>
      <c r="C98" s="122" t="s">
        <v>346</v>
      </c>
      <c r="D98" s="63">
        <v>200000000</v>
      </c>
      <c r="E98" s="63">
        <v>140000000</v>
      </c>
      <c r="F98" s="151">
        <v>0</v>
      </c>
      <c r="G98" s="75">
        <f>D98+F98-E98</f>
        <v>60000000</v>
      </c>
      <c r="H98" s="281" t="s">
        <v>339</v>
      </c>
      <c r="J98" s="339"/>
    </row>
    <row r="99" spans="1:10" s="22" customFormat="1" ht="21" thickBot="1" x14ac:dyDescent="0.35">
      <c r="A99" s="395"/>
      <c r="B99" s="396"/>
      <c r="C99" s="335" t="s">
        <v>333</v>
      </c>
      <c r="D99" s="397">
        <f t="shared" ref="D99:F99" si="10">SUM(D95:D98)</f>
        <v>290688000</v>
      </c>
      <c r="E99" s="397">
        <f t="shared" si="10"/>
        <v>190000000</v>
      </c>
      <c r="F99" s="397">
        <f t="shared" si="10"/>
        <v>450000000</v>
      </c>
      <c r="G99" s="397">
        <f>SUM(G95:G98)</f>
        <v>550688000</v>
      </c>
      <c r="H99" s="398"/>
    </row>
    <row r="100" spans="1:10" s="22" customFormat="1" ht="6" customHeight="1" x14ac:dyDescent="0.3">
      <c r="A100" s="152"/>
      <c r="B100" s="153"/>
      <c r="C100" s="154"/>
      <c r="D100" s="135"/>
      <c r="E100" s="135"/>
      <c r="F100" s="136"/>
      <c r="G100" s="124"/>
      <c r="H100" s="284"/>
    </row>
    <row r="101" spans="1:10" s="22" customFormat="1" ht="16.5" customHeight="1" x14ac:dyDescent="0.3">
      <c r="A101" s="59" t="s">
        <v>133</v>
      </c>
      <c r="B101" s="127"/>
      <c r="C101" s="98" t="s">
        <v>31</v>
      </c>
      <c r="D101" s="126"/>
      <c r="E101" s="135"/>
      <c r="F101" s="136"/>
      <c r="G101" s="124"/>
      <c r="H101" s="284"/>
    </row>
    <row r="102" spans="1:10" s="22" customFormat="1" ht="25.5" customHeight="1" x14ac:dyDescent="0.3">
      <c r="A102" s="59"/>
      <c r="B102" s="127" t="s">
        <v>317</v>
      </c>
      <c r="C102" s="122" t="s">
        <v>318</v>
      </c>
      <c r="D102" s="126">
        <v>450000000</v>
      </c>
      <c r="E102" s="151">
        <v>0</v>
      </c>
      <c r="F102" s="136">
        <v>400000000</v>
      </c>
      <c r="G102" s="75">
        <f t="shared" ref="G102:G107" si="11">D102+F102-E102</f>
        <v>850000000</v>
      </c>
      <c r="H102" s="281" t="s">
        <v>240</v>
      </c>
    </row>
    <row r="103" spans="1:10" s="22" customFormat="1" ht="18.75" customHeight="1" x14ac:dyDescent="0.3">
      <c r="A103" s="59"/>
      <c r="B103" s="127" t="s">
        <v>320</v>
      </c>
      <c r="C103" s="122" t="s">
        <v>321</v>
      </c>
      <c r="D103" s="126">
        <v>10000000</v>
      </c>
      <c r="E103" s="151">
        <v>0</v>
      </c>
      <c r="F103" s="136">
        <v>6000000</v>
      </c>
      <c r="G103" s="75">
        <f t="shared" si="11"/>
        <v>16000000</v>
      </c>
      <c r="H103" s="281" t="s">
        <v>240</v>
      </c>
    </row>
    <row r="104" spans="1:10" s="22" customFormat="1" x14ac:dyDescent="0.3">
      <c r="A104" s="120"/>
      <c r="B104" s="127" t="s">
        <v>553</v>
      </c>
      <c r="C104" s="273" t="s">
        <v>476</v>
      </c>
      <c r="D104" s="151">
        <v>0</v>
      </c>
      <c r="E104" s="151">
        <v>0</v>
      </c>
      <c r="F104" s="151">
        <v>408400000</v>
      </c>
      <c r="G104" s="75">
        <f t="shared" si="11"/>
        <v>408400000</v>
      </c>
      <c r="H104" s="278" t="s">
        <v>240</v>
      </c>
    </row>
    <row r="105" spans="1:10" s="22" customFormat="1" ht="16.5" customHeight="1" x14ac:dyDescent="0.3">
      <c r="A105" s="314"/>
      <c r="B105" s="127" t="s">
        <v>554</v>
      </c>
      <c r="C105" s="274" t="s">
        <v>474</v>
      </c>
      <c r="D105" s="151">
        <v>0</v>
      </c>
      <c r="E105" s="151">
        <v>0</v>
      </c>
      <c r="F105" s="151">
        <v>200000000</v>
      </c>
      <c r="G105" s="75">
        <f t="shared" si="11"/>
        <v>200000000</v>
      </c>
      <c r="H105" s="278" t="s">
        <v>240</v>
      </c>
    </row>
    <row r="106" spans="1:10" s="22" customFormat="1" ht="20.399999999999999" x14ac:dyDescent="0.3">
      <c r="A106" s="314"/>
      <c r="B106" s="127" t="s">
        <v>319</v>
      </c>
      <c r="C106" s="122" t="s">
        <v>322</v>
      </c>
      <c r="D106" s="126">
        <v>4013400000</v>
      </c>
      <c r="E106" s="266">
        <v>1013400000</v>
      </c>
      <c r="F106" s="151">
        <v>0</v>
      </c>
      <c r="G106" s="75">
        <f t="shared" si="11"/>
        <v>3000000000</v>
      </c>
      <c r="H106" s="278" t="s">
        <v>339</v>
      </c>
    </row>
    <row r="107" spans="1:10" s="22" customFormat="1" ht="16.5" customHeight="1" thickBot="1" x14ac:dyDescent="0.35">
      <c r="A107" s="169"/>
      <c r="B107" s="196" t="s">
        <v>356</v>
      </c>
      <c r="C107" s="170" t="s">
        <v>355</v>
      </c>
      <c r="D107" s="70">
        <v>100000000</v>
      </c>
      <c r="E107" s="70">
        <v>50000000</v>
      </c>
      <c r="F107" s="198">
        <f>D107-E107</f>
        <v>50000000</v>
      </c>
      <c r="G107" s="131">
        <f t="shared" si="11"/>
        <v>100000000</v>
      </c>
      <c r="H107" s="278" t="s">
        <v>339</v>
      </c>
      <c r="J107" s="315"/>
    </row>
    <row r="108" spans="1:10" s="22" customFormat="1" ht="21" thickBot="1" x14ac:dyDescent="0.35">
      <c r="A108" s="137"/>
      <c r="B108" s="138"/>
      <c r="C108" s="88" t="s">
        <v>316</v>
      </c>
      <c r="D108" s="150">
        <f t="shared" ref="D108:F108" si="12">SUM(D102:D107)</f>
        <v>4573400000</v>
      </c>
      <c r="E108" s="290">
        <f t="shared" si="12"/>
        <v>1063400000</v>
      </c>
      <c r="F108" s="150">
        <f t="shared" si="12"/>
        <v>1064400000</v>
      </c>
      <c r="G108" s="150">
        <f>SUM(G102:G107)</f>
        <v>4574400000</v>
      </c>
      <c r="H108" s="282"/>
      <c r="I108" s="339"/>
      <c r="J108" s="339"/>
    </row>
    <row r="109" spans="1:10" s="22" customFormat="1" ht="5.25" customHeight="1" x14ac:dyDescent="0.3">
      <c r="A109" s="152"/>
      <c r="B109" s="153"/>
      <c r="C109" s="184"/>
      <c r="D109" s="206"/>
      <c r="E109" s="394"/>
      <c r="F109" s="206"/>
      <c r="G109" s="206"/>
      <c r="H109" s="284"/>
      <c r="I109" s="339"/>
      <c r="J109" s="339"/>
    </row>
    <row r="110" spans="1:10" s="22" customFormat="1" ht="20.399999999999999" x14ac:dyDescent="0.3">
      <c r="A110" s="152" t="s">
        <v>134</v>
      </c>
      <c r="B110" s="153"/>
      <c r="C110" s="184" t="s">
        <v>40</v>
      </c>
      <c r="D110" s="135"/>
      <c r="E110" s="135"/>
      <c r="F110" s="136"/>
      <c r="G110" s="124"/>
      <c r="H110" s="284"/>
    </row>
    <row r="111" spans="1:10" s="22" customFormat="1" ht="20.399999999999999" x14ac:dyDescent="0.3">
      <c r="A111" s="59"/>
      <c r="B111" s="127" t="s">
        <v>400</v>
      </c>
      <c r="C111" s="122" t="s">
        <v>401</v>
      </c>
      <c r="D111" s="126">
        <v>7000000</v>
      </c>
      <c r="E111" s="151">
        <v>0</v>
      </c>
      <c r="F111" s="75">
        <v>10000000</v>
      </c>
      <c r="G111" s="75">
        <f>D111+F111-E111</f>
        <v>17000000</v>
      </c>
      <c r="H111" s="281" t="s">
        <v>240</v>
      </c>
    </row>
    <row r="112" spans="1:10" s="22" customFormat="1" ht="20.399999999999999" x14ac:dyDescent="0.3">
      <c r="A112" s="59"/>
      <c r="B112" s="190" t="s">
        <v>403</v>
      </c>
      <c r="C112" s="122" t="s">
        <v>404</v>
      </c>
      <c r="D112" s="63">
        <v>25000000</v>
      </c>
      <c r="E112" s="63">
        <v>0</v>
      </c>
      <c r="F112" s="75"/>
      <c r="G112" s="75">
        <f>D112+F112-E112</f>
        <v>25000000</v>
      </c>
      <c r="H112" s="281" t="s">
        <v>339</v>
      </c>
    </row>
    <row r="113" spans="1:8" s="22" customFormat="1" ht="15" thickBot="1" x14ac:dyDescent="0.35">
      <c r="A113" s="120"/>
      <c r="B113" s="196" t="s">
        <v>467</v>
      </c>
      <c r="C113" s="129" t="s">
        <v>405</v>
      </c>
      <c r="D113" s="70">
        <v>40000000</v>
      </c>
      <c r="E113" s="70">
        <v>0</v>
      </c>
      <c r="F113" s="131"/>
      <c r="G113" s="75">
        <f>D113+F113-E113</f>
        <v>40000000</v>
      </c>
      <c r="H113" s="281" t="s">
        <v>339</v>
      </c>
    </row>
    <row r="114" spans="1:8" s="22" customFormat="1" ht="21" thickBot="1" x14ac:dyDescent="0.35">
      <c r="A114" s="137"/>
      <c r="B114" s="138"/>
      <c r="C114" s="88" t="s">
        <v>402</v>
      </c>
      <c r="D114" s="139">
        <f t="shared" ref="D114:F114" si="13">SUM(D111:D113)</f>
        <v>72000000</v>
      </c>
      <c r="E114" s="139">
        <f>SUM(E111:E113)</f>
        <v>0</v>
      </c>
      <c r="F114" s="139">
        <f t="shared" si="13"/>
        <v>10000000</v>
      </c>
      <c r="G114" s="139">
        <f>SUM(G111:G113)</f>
        <v>82000000</v>
      </c>
      <c r="H114" s="282"/>
    </row>
    <row r="115" spans="1:8" s="22" customFormat="1" ht="6" customHeight="1" x14ac:dyDescent="0.3">
      <c r="A115" s="152"/>
      <c r="B115" s="153"/>
      <c r="C115" s="154"/>
      <c r="D115" s="135"/>
      <c r="E115" s="135"/>
      <c r="F115" s="136"/>
      <c r="G115" s="124"/>
      <c r="H115" s="284"/>
    </row>
    <row r="116" spans="1:8" s="22" customFormat="1" ht="21.75" customHeight="1" x14ac:dyDescent="0.3">
      <c r="A116" s="59" t="s">
        <v>139</v>
      </c>
      <c r="B116" s="127"/>
      <c r="C116" s="98" t="s">
        <v>48</v>
      </c>
      <c r="D116" s="126"/>
      <c r="E116" s="135"/>
      <c r="F116" s="136"/>
      <c r="G116" s="124"/>
      <c r="H116" s="284"/>
    </row>
    <row r="117" spans="1:8" s="22" customFormat="1" ht="19.5" customHeight="1" x14ac:dyDescent="0.3">
      <c r="A117" s="59"/>
      <c r="B117" s="127" t="s">
        <v>271</v>
      </c>
      <c r="C117" s="122" t="s">
        <v>272</v>
      </c>
      <c r="D117" s="126">
        <v>1000000</v>
      </c>
      <c r="E117" s="151">
        <v>0</v>
      </c>
      <c r="F117" s="136">
        <v>2000000</v>
      </c>
      <c r="G117" s="75">
        <f>D117+F117</f>
        <v>3000000</v>
      </c>
      <c r="H117" s="281" t="s">
        <v>240</v>
      </c>
    </row>
    <row r="118" spans="1:8" s="22" customFormat="1" ht="23.25" customHeight="1" x14ac:dyDescent="0.3">
      <c r="A118" s="59"/>
      <c r="B118" s="127" t="s">
        <v>550</v>
      </c>
      <c r="C118" s="274" t="s">
        <v>273</v>
      </c>
      <c r="D118" s="151">
        <v>0</v>
      </c>
      <c r="E118" s="151">
        <v>0</v>
      </c>
      <c r="F118" s="233">
        <v>2000000</v>
      </c>
      <c r="G118" s="151">
        <f>D118+F118</f>
        <v>2000000</v>
      </c>
      <c r="H118" s="278" t="s">
        <v>240</v>
      </c>
    </row>
    <row r="119" spans="1:8" s="22" customFormat="1" ht="16.5" customHeight="1" thickBot="1" x14ac:dyDescent="0.35">
      <c r="A119" s="59"/>
      <c r="B119" s="127" t="s">
        <v>551</v>
      </c>
      <c r="C119" s="274" t="s">
        <v>274</v>
      </c>
      <c r="D119" s="151">
        <v>0</v>
      </c>
      <c r="E119" s="151">
        <v>0</v>
      </c>
      <c r="F119" s="233">
        <v>5000000</v>
      </c>
      <c r="G119" s="151">
        <f>D119+F119</f>
        <v>5000000</v>
      </c>
      <c r="H119" s="278" t="s">
        <v>240</v>
      </c>
    </row>
    <row r="120" spans="1:8" s="22" customFormat="1" ht="24" customHeight="1" x14ac:dyDescent="0.3">
      <c r="A120" s="317"/>
      <c r="B120" s="318"/>
      <c r="C120" s="204" t="s">
        <v>275</v>
      </c>
      <c r="D120" s="319">
        <f>SUM(D117:D119)</f>
        <v>1000000</v>
      </c>
      <c r="E120" s="319">
        <f>SUM(E117:E119)</f>
        <v>0</v>
      </c>
      <c r="F120" s="319">
        <f>SUM(F117:F119)</f>
        <v>9000000</v>
      </c>
      <c r="G120" s="319">
        <f>SUM(G117:G119)</f>
        <v>10000000</v>
      </c>
      <c r="H120" s="320"/>
    </row>
    <row r="121" spans="1:8" s="22" customFormat="1" ht="7.5" customHeight="1" x14ac:dyDescent="0.3">
      <c r="A121" s="59"/>
      <c r="B121" s="127"/>
      <c r="C121" s="98"/>
      <c r="D121" s="205"/>
      <c r="E121" s="205"/>
      <c r="F121" s="205"/>
      <c r="G121" s="205"/>
      <c r="H121" s="281"/>
    </row>
    <row r="122" spans="1:8" s="22" customFormat="1" ht="24" customHeight="1" x14ac:dyDescent="0.3">
      <c r="A122" s="152" t="s">
        <v>704</v>
      </c>
      <c r="B122" s="153"/>
      <c r="C122" s="98" t="s">
        <v>689</v>
      </c>
      <c r="D122" s="214"/>
      <c r="E122" s="214"/>
      <c r="F122" s="214"/>
      <c r="G122" s="214"/>
      <c r="H122" s="281"/>
    </row>
    <row r="123" spans="1:8" s="22" customFormat="1" ht="16.5" customHeight="1" x14ac:dyDescent="0.3">
      <c r="A123" s="59"/>
      <c r="B123" s="550" t="s">
        <v>714</v>
      </c>
      <c r="C123" s="274" t="s">
        <v>691</v>
      </c>
      <c r="D123" s="551">
        <v>0</v>
      </c>
      <c r="E123" s="551">
        <v>0</v>
      </c>
      <c r="F123" s="155">
        <v>50000000</v>
      </c>
      <c r="G123" s="151">
        <f>D123+F123</f>
        <v>50000000</v>
      </c>
      <c r="H123" s="281" t="s">
        <v>709</v>
      </c>
    </row>
    <row r="124" spans="1:8" s="22" customFormat="1" ht="24" customHeight="1" thickBot="1" x14ac:dyDescent="0.35">
      <c r="A124" s="395"/>
      <c r="B124" s="396"/>
      <c r="C124" s="335" t="s">
        <v>690</v>
      </c>
      <c r="D124" s="549">
        <f t="shared" ref="D124:F124" si="14">SUM(D123)</f>
        <v>0</v>
      </c>
      <c r="E124" s="549">
        <f t="shared" si="14"/>
        <v>0</v>
      </c>
      <c r="F124" s="549">
        <f t="shared" si="14"/>
        <v>50000000</v>
      </c>
      <c r="G124" s="549">
        <f>SUM(G123)</f>
        <v>50000000</v>
      </c>
      <c r="H124" s="398"/>
    </row>
    <row r="125" spans="1:8" s="22" customFormat="1" ht="6.75" customHeight="1" x14ac:dyDescent="0.3">
      <c r="A125" s="152"/>
      <c r="B125" s="153"/>
      <c r="C125" s="184"/>
      <c r="D125" s="207"/>
      <c r="E125" s="207"/>
      <c r="F125" s="207"/>
      <c r="G125" s="207"/>
      <c r="H125" s="284"/>
    </row>
    <row r="126" spans="1:8" s="22" customFormat="1" ht="20.399999999999999" x14ac:dyDescent="0.3">
      <c r="A126" s="59" t="s">
        <v>52</v>
      </c>
      <c r="B126" s="127"/>
      <c r="C126" s="98" t="s">
        <v>66</v>
      </c>
      <c r="D126" s="205"/>
      <c r="E126" s="205"/>
      <c r="F126" s="205"/>
      <c r="G126" s="205"/>
      <c r="H126" s="281"/>
    </row>
    <row r="127" spans="1:8" s="22" customFormat="1" ht="15.75" customHeight="1" x14ac:dyDescent="0.3">
      <c r="A127" s="59"/>
      <c r="B127" s="127" t="s">
        <v>552</v>
      </c>
      <c r="C127" s="274" t="s">
        <v>429</v>
      </c>
      <c r="D127" s="321">
        <v>0</v>
      </c>
      <c r="E127" s="321">
        <v>0</v>
      </c>
      <c r="F127" s="151">
        <v>24482000</v>
      </c>
      <c r="G127" s="151">
        <f>D127+F127</f>
        <v>24482000</v>
      </c>
      <c r="H127" s="291" t="s">
        <v>430</v>
      </c>
    </row>
    <row r="128" spans="1:8" s="22" customFormat="1" ht="20.399999999999999" x14ac:dyDescent="0.3">
      <c r="A128" s="59"/>
      <c r="B128" s="127" t="s">
        <v>598</v>
      </c>
      <c r="C128" s="122" t="s">
        <v>701</v>
      </c>
      <c r="D128" s="321">
        <v>0</v>
      </c>
      <c r="E128" s="321">
        <v>0</v>
      </c>
      <c r="F128" s="151">
        <v>70000000</v>
      </c>
      <c r="G128" s="151">
        <f>D128+F128</f>
        <v>70000000</v>
      </c>
      <c r="H128" s="313" t="s">
        <v>240</v>
      </c>
    </row>
    <row r="129" spans="1:8" s="22" customFormat="1" ht="41.4" thickBot="1" x14ac:dyDescent="0.35">
      <c r="A129" s="59"/>
      <c r="B129" s="127"/>
      <c r="C129" s="274" t="s">
        <v>599</v>
      </c>
      <c r="D129" s="321">
        <v>0</v>
      </c>
      <c r="E129" s="321">
        <v>0</v>
      </c>
      <c r="F129" s="151">
        <v>81500000</v>
      </c>
      <c r="G129" s="151">
        <f>D129+F129</f>
        <v>81500000</v>
      </c>
      <c r="H129" s="313" t="s">
        <v>240</v>
      </c>
    </row>
    <row r="130" spans="1:8" s="22" customFormat="1" ht="34.5" customHeight="1" thickBot="1" x14ac:dyDescent="0.35">
      <c r="A130" s="137"/>
      <c r="B130" s="138"/>
      <c r="C130" s="88" t="s">
        <v>428</v>
      </c>
      <c r="D130" s="139">
        <f t="shared" ref="D130:F130" si="15">SUM(D127:D129)</f>
        <v>0</v>
      </c>
      <c r="E130" s="139">
        <f t="shared" si="15"/>
        <v>0</v>
      </c>
      <c r="F130" s="139">
        <f t="shared" si="15"/>
        <v>175982000</v>
      </c>
      <c r="G130" s="139">
        <f>SUM(G127:G129)</f>
        <v>175982000</v>
      </c>
      <c r="H130" s="282"/>
    </row>
    <row r="131" spans="1:8" s="22" customFormat="1" ht="21" customHeight="1" x14ac:dyDescent="0.3">
      <c r="A131" s="120" t="s">
        <v>64</v>
      </c>
      <c r="B131" s="128"/>
      <c r="C131" s="97" t="s">
        <v>45</v>
      </c>
      <c r="D131" s="126"/>
      <c r="E131" s="126"/>
      <c r="F131" s="75"/>
      <c r="G131" s="125"/>
      <c r="H131" s="281"/>
    </row>
    <row r="132" spans="1:8" s="22" customFormat="1" ht="43.5" customHeight="1" x14ac:dyDescent="0.3">
      <c r="A132" s="120"/>
      <c r="B132" s="128" t="s">
        <v>253</v>
      </c>
      <c r="C132" s="129" t="s">
        <v>254</v>
      </c>
      <c r="D132" s="126">
        <v>7000000</v>
      </c>
      <c r="E132" s="207">
        <v>0</v>
      </c>
      <c r="F132" s="75">
        <v>10000000</v>
      </c>
      <c r="G132" s="151">
        <f>D132+F132</f>
        <v>17000000</v>
      </c>
      <c r="H132" s="281" t="s">
        <v>240</v>
      </c>
    </row>
    <row r="133" spans="1:8" s="22" customFormat="1" ht="38.25" customHeight="1" x14ac:dyDescent="0.3">
      <c r="A133" s="120"/>
      <c r="B133" s="128" t="s">
        <v>424</v>
      </c>
      <c r="C133" s="122" t="s">
        <v>425</v>
      </c>
      <c r="D133" s="130">
        <v>3000000</v>
      </c>
      <c r="E133" s="207">
        <v>0</v>
      </c>
      <c r="F133" s="131">
        <v>1000000</v>
      </c>
      <c r="G133" s="151">
        <f>D133+F133</f>
        <v>4000000</v>
      </c>
      <c r="H133" s="286" t="s">
        <v>423</v>
      </c>
    </row>
    <row r="134" spans="1:8" s="22" customFormat="1" ht="26.25" customHeight="1" x14ac:dyDescent="0.3">
      <c r="A134" s="59"/>
      <c r="B134" s="127" t="s">
        <v>426</v>
      </c>
      <c r="C134" s="122" t="s">
        <v>427</v>
      </c>
      <c r="D134" s="126">
        <v>500000</v>
      </c>
      <c r="E134" s="205">
        <v>0</v>
      </c>
      <c r="F134" s="75">
        <v>16000000</v>
      </c>
      <c r="G134" s="151">
        <f>D134+F134</f>
        <v>16500000</v>
      </c>
      <c r="H134" s="285" t="s">
        <v>423</v>
      </c>
    </row>
    <row r="135" spans="1:8" s="22" customFormat="1" ht="33" customHeight="1" x14ac:dyDescent="0.3">
      <c r="A135" s="59"/>
      <c r="B135" s="127" t="s">
        <v>255</v>
      </c>
      <c r="C135" s="122" t="s">
        <v>256</v>
      </c>
      <c r="D135" s="126">
        <v>122000000</v>
      </c>
      <c r="E135" s="205">
        <v>0</v>
      </c>
      <c r="F135" s="75">
        <v>58000000</v>
      </c>
      <c r="G135" s="151">
        <f>D135+F135</f>
        <v>180000000</v>
      </c>
      <c r="H135" s="281" t="s">
        <v>240</v>
      </c>
    </row>
    <row r="136" spans="1:8" s="22" customFormat="1" x14ac:dyDescent="0.3">
      <c r="A136" s="59"/>
      <c r="B136" s="127" t="s">
        <v>255</v>
      </c>
      <c r="C136" s="340" t="s">
        <v>471</v>
      </c>
      <c r="D136" s="126">
        <v>1800000</v>
      </c>
      <c r="E136" s="126">
        <v>0</v>
      </c>
      <c r="F136" s="75">
        <v>277278750</v>
      </c>
      <c r="G136" s="151">
        <f>D136+F136</f>
        <v>279078750</v>
      </c>
      <c r="H136" s="291" t="s">
        <v>430</v>
      </c>
    </row>
    <row r="137" spans="1:8" s="22" customFormat="1" ht="15" thickBot="1" x14ac:dyDescent="0.35">
      <c r="A137" s="120"/>
      <c r="B137" s="196" t="s">
        <v>343</v>
      </c>
      <c r="C137" s="170" t="s">
        <v>342</v>
      </c>
      <c r="D137" s="70">
        <v>50000000</v>
      </c>
      <c r="E137" s="130">
        <v>40000000</v>
      </c>
      <c r="F137" s="131">
        <v>0</v>
      </c>
      <c r="G137" s="229">
        <f>D137+F137-E137</f>
        <v>10000000</v>
      </c>
      <c r="H137" s="287" t="s">
        <v>339</v>
      </c>
    </row>
    <row r="138" spans="1:8" s="22" customFormat="1" ht="16.5" customHeight="1" thickBot="1" x14ac:dyDescent="0.35">
      <c r="A138" s="137"/>
      <c r="B138" s="138"/>
      <c r="C138" s="88" t="s">
        <v>257</v>
      </c>
      <c r="D138" s="140">
        <f t="shared" ref="D138:F138" si="16">SUM(D132:D137)</f>
        <v>184300000</v>
      </c>
      <c r="E138" s="140">
        <f t="shared" si="16"/>
        <v>40000000</v>
      </c>
      <c r="F138" s="140">
        <f t="shared" si="16"/>
        <v>362278750</v>
      </c>
      <c r="G138" s="140">
        <f>SUM(G132:G137)</f>
        <v>506578750</v>
      </c>
      <c r="H138" s="282"/>
    </row>
    <row r="139" spans="1:8" s="22" customFormat="1" ht="6.75" customHeight="1" x14ac:dyDescent="0.3">
      <c r="A139" s="444"/>
      <c r="B139" s="133"/>
      <c r="C139" s="445"/>
      <c r="D139" s="446"/>
      <c r="E139" s="446"/>
      <c r="F139" s="446"/>
      <c r="G139" s="446"/>
      <c r="H139" s="447"/>
    </row>
    <row r="140" spans="1:8" s="22" customFormat="1" ht="20.399999999999999" x14ac:dyDescent="0.3">
      <c r="A140" s="120" t="s">
        <v>515</v>
      </c>
      <c r="B140" s="127"/>
      <c r="C140" s="98" t="s">
        <v>610</v>
      </c>
      <c r="D140" s="214"/>
      <c r="E140" s="214"/>
      <c r="F140" s="214"/>
      <c r="G140" s="214"/>
      <c r="H140" s="281"/>
    </row>
    <row r="141" spans="1:8" s="22" customFormat="1" ht="15" customHeight="1" x14ac:dyDescent="0.3">
      <c r="A141" s="59"/>
      <c r="B141" s="127" t="s">
        <v>516</v>
      </c>
      <c r="C141" s="222" t="s">
        <v>518</v>
      </c>
      <c r="D141" s="126">
        <v>0</v>
      </c>
      <c r="E141" s="126">
        <v>0</v>
      </c>
      <c r="F141" s="126">
        <v>4930000</v>
      </c>
      <c r="G141" s="151">
        <f>D141+F141</f>
        <v>4930000</v>
      </c>
      <c r="H141" s="287" t="s">
        <v>430</v>
      </c>
    </row>
    <row r="142" spans="1:8" s="22" customFormat="1" ht="20.399999999999999" x14ac:dyDescent="0.3">
      <c r="A142" s="59"/>
      <c r="B142" s="127" t="s">
        <v>517</v>
      </c>
      <c r="C142" s="122" t="s">
        <v>519</v>
      </c>
      <c r="D142" s="126">
        <v>0</v>
      </c>
      <c r="E142" s="126">
        <v>0</v>
      </c>
      <c r="F142" s="126">
        <v>956000</v>
      </c>
      <c r="G142" s="151">
        <f>D142+F142</f>
        <v>956000</v>
      </c>
      <c r="H142" s="287" t="s">
        <v>430</v>
      </c>
    </row>
    <row r="143" spans="1:8" s="22" customFormat="1" ht="16.5" customHeight="1" x14ac:dyDescent="0.3">
      <c r="A143" s="59"/>
      <c r="B143" s="127" t="s">
        <v>520</v>
      </c>
      <c r="C143" s="122" t="s">
        <v>521</v>
      </c>
      <c r="D143" s="126">
        <v>0</v>
      </c>
      <c r="E143" s="126">
        <v>0</v>
      </c>
      <c r="F143" s="126">
        <v>2500000</v>
      </c>
      <c r="G143" s="151">
        <f>D143+F143</f>
        <v>2500000</v>
      </c>
      <c r="H143" s="287" t="s">
        <v>430</v>
      </c>
    </row>
    <row r="144" spans="1:8" s="22" customFormat="1" ht="16.5" customHeight="1" x14ac:dyDescent="0.3">
      <c r="A144" s="59"/>
      <c r="B144" s="127" t="s">
        <v>522</v>
      </c>
      <c r="C144" s="122" t="s">
        <v>523</v>
      </c>
      <c r="D144" s="126">
        <v>0</v>
      </c>
      <c r="E144" s="126">
        <v>0</v>
      </c>
      <c r="F144" s="126">
        <v>930000</v>
      </c>
      <c r="G144" s="151">
        <f>D144+F144</f>
        <v>930000</v>
      </c>
      <c r="H144" s="287" t="s">
        <v>430</v>
      </c>
    </row>
    <row r="145" spans="1:10" s="22" customFormat="1" ht="16.5" customHeight="1" thickBot="1" x14ac:dyDescent="0.35">
      <c r="A145" s="120"/>
      <c r="B145" s="128" t="s">
        <v>525</v>
      </c>
      <c r="C145" s="129" t="s">
        <v>524</v>
      </c>
      <c r="D145" s="130">
        <v>0</v>
      </c>
      <c r="E145" s="130">
        <v>0</v>
      </c>
      <c r="F145" s="130">
        <v>950000</v>
      </c>
      <c r="G145" s="229">
        <f>D145+F145</f>
        <v>950000</v>
      </c>
      <c r="H145" s="287" t="s">
        <v>430</v>
      </c>
    </row>
    <row r="146" spans="1:10" s="22" customFormat="1" ht="21" thickBot="1" x14ac:dyDescent="0.35">
      <c r="A146" s="137"/>
      <c r="B146" s="138"/>
      <c r="C146" s="88" t="s">
        <v>611</v>
      </c>
      <c r="D146" s="140">
        <f t="shared" ref="D146:G146" si="17">SUM(D141:D145)</f>
        <v>0</v>
      </c>
      <c r="E146" s="140">
        <f t="shared" si="17"/>
        <v>0</v>
      </c>
      <c r="F146" s="140">
        <f t="shared" si="17"/>
        <v>10266000</v>
      </c>
      <c r="G146" s="140">
        <f t="shared" si="17"/>
        <v>10266000</v>
      </c>
      <c r="H146" s="282"/>
      <c r="J146" s="232"/>
    </row>
    <row r="147" spans="1:10" ht="15" thickBot="1" x14ac:dyDescent="0.35">
      <c r="A147" s="219"/>
      <c r="B147" s="220"/>
      <c r="C147" s="221" t="s">
        <v>15</v>
      </c>
      <c r="D147" s="289">
        <f t="shared" ref="D147:F147" si="18">D124+D138+D120+D69+D40+D14+D114+D108+D130+D87+D60+D54+D49+D92+D146+D99+D18+D8+D45</f>
        <v>30672857989</v>
      </c>
      <c r="E147" s="289">
        <f t="shared" si="18"/>
        <v>1576590000</v>
      </c>
      <c r="F147" s="289">
        <f t="shared" si="18"/>
        <v>10977250000</v>
      </c>
      <c r="G147" s="289">
        <f>G124+G138+G120+G69+G40+G14+G114+G108+G130+G87+G60+G54+G49+G92+G146+G99+G18+G8+G45</f>
        <v>40073517989</v>
      </c>
      <c r="H147" s="288"/>
    </row>
  </sheetData>
  <mergeCells count="4">
    <mergeCell ref="A1:H1"/>
    <mergeCell ref="A2:H2"/>
    <mergeCell ref="A3:H3"/>
    <mergeCell ref="A4:H4"/>
  </mergeCells>
  <conditionalFormatting sqref="C20 C114:C115 C54:C56 C75 C77 C88 C117:C119 C50:C51 C93:C96 C100:C101 C60:C71 C104 C22:C41 C108:C110 C131:C132 C46 C138:C140 C142:C146">
    <cfRule type="expression" dxfId="375" priority="481">
      <formula>$O20=9</formula>
    </cfRule>
    <cfRule type="expression" dxfId="374" priority="482">
      <formula>$O20=7</formula>
    </cfRule>
    <cfRule type="expression" dxfId="373" priority="483">
      <formula>$O20=6</formula>
    </cfRule>
    <cfRule type="expression" dxfId="372" priority="484">
      <formula>$O20=5</formula>
    </cfRule>
    <cfRule type="expression" dxfId="371" priority="485">
      <formula>$O20=4</formula>
    </cfRule>
    <cfRule type="expression" dxfId="370" priority="486">
      <formula>$O20=3</formula>
    </cfRule>
    <cfRule type="expression" dxfId="369" priority="487">
      <formula>$O20=2</formula>
    </cfRule>
    <cfRule type="expression" dxfId="368" priority="488">
      <formula>$O20=1</formula>
    </cfRule>
  </conditionalFormatting>
  <conditionalFormatting sqref="C105">
    <cfRule type="expression" dxfId="367" priority="473">
      <formula>$O105=9</formula>
    </cfRule>
    <cfRule type="expression" dxfId="366" priority="474">
      <formula>$O105=7</formula>
    </cfRule>
    <cfRule type="expression" dxfId="365" priority="475">
      <formula>$O105=6</formula>
    </cfRule>
    <cfRule type="expression" dxfId="364" priority="476">
      <formula>$O105=5</formula>
    </cfRule>
    <cfRule type="expression" dxfId="363" priority="477">
      <formula>$O105=4</formula>
    </cfRule>
    <cfRule type="expression" dxfId="362" priority="478">
      <formula>$O105=3</formula>
    </cfRule>
    <cfRule type="expression" dxfId="361" priority="479">
      <formula>$O105=2</formula>
    </cfRule>
    <cfRule type="expression" dxfId="360" priority="480">
      <formula>$O105=1</formula>
    </cfRule>
  </conditionalFormatting>
  <conditionalFormatting sqref="C116 C129:C130 C120:C127">
    <cfRule type="expression" dxfId="359" priority="457">
      <formula>$K116=9</formula>
    </cfRule>
    <cfRule type="expression" dxfId="358" priority="458">
      <formula>$K116=7</formula>
    </cfRule>
    <cfRule type="expression" dxfId="357" priority="459">
      <formula>$K116=6</formula>
    </cfRule>
    <cfRule type="expression" dxfId="356" priority="460">
      <formula>$K116=5</formula>
    </cfRule>
    <cfRule type="expression" dxfId="355" priority="461">
      <formula>$K116=4</formula>
    </cfRule>
    <cfRule type="expression" dxfId="354" priority="462">
      <formula>$K116=3</formula>
    </cfRule>
    <cfRule type="expression" dxfId="353" priority="463">
      <formula>$K116=2</formula>
    </cfRule>
    <cfRule type="expression" dxfId="352" priority="464">
      <formula>$K116=1</formula>
    </cfRule>
  </conditionalFormatting>
  <conditionalFormatting sqref="C102">
    <cfRule type="expression" dxfId="351" priority="441">
      <formula>$O102=9</formula>
    </cfRule>
    <cfRule type="expression" dxfId="350" priority="442">
      <formula>$O102=7</formula>
    </cfRule>
    <cfRule type="expression" dxfId="349" priority="443">
      <formula>$O102=6</formula>
    </cfRule>
    <cfRule type="expression" dxfId="348" priority="444">
      <formula>$O102=5</formula>
    </cfRule>
    <cfRule type="expression" dxfId="347" priority="445">
      <formula>$O102=4</formula>
    </cfRule>
    <cfRule type="expression" dxfId="346" priority="446">
      <formula>$O102=3</formula>
    </cfRule>
    <cfRule type="expression" dxfId="345" priority="447">
      <formula>$O102=2</formula>
    </cfRule>
    <cfRule type="expression" dxfId="344" priority="448">
      <formula>$O102=1</formula>
    </cfRule>
  </conditionalFormatting>
  <conditionalFormatting sqref="C103">
    <cfRule type="expression" dxfId="343" priority="425">
      <formula>$O103=9</formula>
    </cfRule>
    <cfRule type="expression" dxfId="342" priority="426">
      <formula>$O103=7</formula>
    </cfRule>
    <cfRule type="expression" dxfId="341" priority="427">
      <formula>$O103=6</formula>
    </cfRule>
    <cfRule type="expression" dxfId="340" priority="428">
      <formula>$O103=5</formula>
    </cfRule>
    <cfRule type="expression" dxfId="339" priority="429">
      <formula>$O103=4</formula>
    </cfRule>
    <cfRule type="expression" dxfId="338" priority="430">
      <formula>$O103=3</formula>
    </cfRule>
    <cfRule type="expression" dxfId="337" priority="431">
      <formula>$O103=2</formula>
    </cfRule>
    <cfRule type="expression" dxfId="336" priority="432">
      <formula>$O103=1</formula>
    </cfRule>
  </conditionalFormatting>
  <conditionalFormatting sqref="C111">
    <cfRule type="expression" dxfId="335" priority="409">
      <formula>$O111=9</formula>
    </cfRule>
    <cfRule type="expression" dxfId="334" priority="410">
      <formula>$O111=7</formula>
    </cfRule>
    <cfRule type="expression" dxfId="333" priority="411">
      <formula>$O111=6</formula>
    </cfRule>
    <cfRule type="expression" dxfId="332" priority="412">
      <formula>$O111=5</formula>
    </cfRule>
    <cfRule type="expression" dxfId="331" priority="413">
      <formula>$O111=4</formula>
    </cfRule>
    <cfRule type="expression" dxfId="330" priority="414">
      <formula>$O111=3</formula>
    </cfRule>
    <cfRule type="expression" dxfId="329" priority="415">
      <formula>$O111=2</formula>
    </cfRule>
    <cfRule type="expression" dxfId="328" priority="416">
      <formula>$O111=1</formula>
    </cfRule>
  </conditionalFormatting>
  <conditionalFormatting sqref="C52">
    <cfRule type="expression" dxfId="327" priority="401">
      <formula>$O52=9</formula>
    </cfRule>
    <cfRule type="expression" dxfId="326" priority="402">
      <formula>$O52=7</formula>
    </cfRule>
    <cfRule type="expression" dxfId="325" priority="403">
      <formula>$O52=6</formula>
    </cfRule>
    <cfRule type="expression" dxfId="324" priority="404">
      <formula>$O52=5</formula>
    </cfRule>
    <cfRule type="expression" dxfId="323" priority="405">
      <formula>$O52=4</formula>
    </cfRule>
    <cfRule type="expression" dxfId="322" priority="406">
      <formula>$O52=3</formula>
    </cfRule>
    <cfRule type="expression" dxfId="321" priority="407">
      <formula>$O52=2</formula>
    </cfRule>
    <cfRule type="expression" dxfId="320" priority="408">
      <formula>$O52=1</formula>
    </cfRule>
  </conditionalFormatting>
  <conditionalFormatting sqref="C53">
    <cfRule type="expression" dxfId="319" priority="393">
      <formula>$O53=9</formula>
    </cfRule>
    <cfRule type="expression" dxfId="318" priority="394">
      <formula>$O53=7</formula>
    </cfRule>
    <cfRule type="expression" dxfId="317" priority="395">
      <formula>$O53=6</formula>
    </cfRule>
    <cfRule type="expression" dxfId="316" priority="396">
      <formula>$O53=5</formula>
    </cfRule>
    <cfRule type="expression" dxfId="315" priority="397">
      <formula>$O53=4</formula>
    </cfRule>
    <cfRule type="expression" dxfId="314" priority="398">
      <formula>$O53=3</formula>
    </cfRule>
    <cfRule type="expression" dxfId="313" priority="399">
      <formula>$O53=2</formula>
    </cfRule>
    <cfRule type="expression" dxfId="312" priority="400">
      <formula>$O53=1</formula>
    </cfRule>
  </conditionalFormatting>
  <conditionalFormatting sqref="C58:C59">
    <cfRule type="expression" dxfId="311" priority="377">
      <formula>$O58=9</formula>
    </cfRule>
    <cfRule type="expression" dxfId="310" priority="378">
      <formula>$O58=7</formula>
    </cfRule>
    <cfRule type="expression" dxfId="309" priority="379">
      <formula>$O58=6</formula>
    </cfRule>
    <cfRule type="expression" dxfId="308" priority="380">
      <formula>$O58=5</formula>
    </cfRule>
    <cfRule type="expression" dxfId="307" priority="381">
      <formula>$O58=4</formula>
    </cfRule>
    <cfRule type="expression" dxfId="306" priority="382">
      <formula>$O58=3</formula>
    </cfRule>
    <cfRule type="expression" dxfId="305" priority="383">
      <formula>$O58=2</formula>
    </cfRule>
    <cfRule type="expression" dxfId="304" priority="384">
      <formula>$O58=1</formula>
    </cfRule>
  </conditionalFormatting>
  <conditionalFormatting sqref="C133">
    <cfRule type="expression" dxfId="303" priority="369">
      <formula>$O133=9</formula>
    </cfRule>
    <cfRule type="expression" dxfId="302" priority="370">
      <formula>$O133=7</formula>
    </cfRule>
    <cfRule type="expression" dxfId="301" priority="371">
      <formula>$O133=6</formula>
    </cfRule>
    <cfRule type="expression" dxfId="300" priority="372">
      <formula>$O133=5</formula>
    </cfRule>
    <cfRule type="expression" dxfId="299" priority="373">
      <formula>$O133=4</formula>
    </cfRule>
    <cfRule type="expression" dxfId="298" priority="374">
      <formula>$O133=3</formula>
    </cfRule>
    <cfRule type="expression" dxfId="297" priority="375">
      <formula>$O133=2</formula>
    </cfRule>
    <cfRule type="expression" dxfId="296" priority="376">
      <formula>$O133=1</formula>
    </cfRule>
  </conditionalFormatting>
  <conditionalFormatting sqref="C134">
    <cfRule type="expression" dxfId="295" priority="361">
      <formula>$O134=9</formula>
    </cfRule>
    <cfRule type="expression" dxfId="294" priority="362">
      <formula>$O134=7</formula>
    </cfRule>
    <cfRule type="expression" dxfId="293" priority="363">
      <formula>$O134=6</formula>
    </cfRule>
    <cfRule type="expression" dxfId="292" priority="364">
      <formula>$O134=5</formula>
    </cfRule>
    <cfRule type="expression" dxfId="291" priority="365">
      <formula>$O134=4</formula>
    </cfRule>
    <cfRule type="expression" dxfId="290" priority="366">
      <formula>$O134=3</formula>
    </cfRule>
    <cfRule type="expression" dxfId="289" priority="367">
      <formula>$O134=2</formula>
    </cfRule>
    <cfRule type="expression" dxfId="288" priority="368">
      <formula>$O134=1</formula>
    </cfRule>
  </conditionalFormatting>
  <conditionalFormatting sqref="C72">
    <cfRule type="expression" dxfId="287" priority="337">
      <formula>$O72=9</formula>
    </cfRule>
    <cfRule type="expression" dxfId="286" priority="338">
      <formula>$O72=7</formula>
    </cfRule>
    <cfRule type="expression" dxfId="285" priority="339">
      <formula>$O72=6</formula>
    </cfRule>
    <cfRule type="expression" dxfId="284" priority="340">
      <formula>$O72=5</formula>
    </cfRule>
    <cfRule type="expression" dxfId="283" priority="341">
      <formula>$O72=4</formula>
    </cfRule>
    <cfRule type="expression" dxfId="282" priority="342">
      <formula>$O72=3</formula>
    </cfRule>
    <cfRule type="expression" dxfId="281" priority="343">
      <formula>$O72=2</formula>
    </cfRule>
    <cfRule type="expression" dxfId="280" priority="344">
      <formula>$O72=1</formula>
    </cfRule>
  </conditionalFormatting>
  <conditionalFormatting sqref="C74">
    <cfRule type="expression" dxfId="279" priority="313">
      <formula>$O74=9</formula>
    </cfRule>
    <cfRule type="expression" dxfId="278" priority="314">
      <formula>$O74=7</formula>
    </cfRule>
    <cfRule type="expression" dxfId="277" priority="315">
      <formula>$O74=6</formula>
    </cfRule>
    <cfRule type="expression" dxfId="276" priority="316">
      <formula>$O74=5</formula>
    </cfRule>
    <cfRule type="expression" dxfId="275" priority="317">
      <formula>$O74=4</formula>
    </cfRule>
    <cfRule type="expression" dxfId="274" priority="318">
      <formula>$O74=3</formula>
    </cfRule>
    <cfRule type="expression" dxfId="273" priority="319">
      <formula>$O74=2</formula>
    </cfRule>
    <cfRule type="expression" dxfId="272" priority="320">
      <formula>$O74=1</formula>
    </cfRule>
  </conditionalFormatting>
  <conditionalFormatting sqref="C73">
    <cfRule type="expression" dxfId="271" priority="321">
      <formula>$O73=9</formula>
    </cfRule>
    <cfRule type="expression" dxfId="270" priority="322">
      <formula>$O73=7</formula>
    </cfRule>
    <cfRule type="expression" dxfId="269" priority="323">
      <formula>$O73=6</formula>
    </cfRule>
    <cfRule type="expression" dxfId="268" priority="324">
      <formula>$O73=5</formula>
    </cfRule>
    <cfRule type="expression" dxfId="267" priority="325">
      <formula>$O73=4</formula>
    </cfRule>
    <cfRule type="expression" dxfId="266" priority="326">
      <formula>$O73=3</formula>
    </cfRule>
    <cfRule type="expression" dxfId="265" priority="327">
      <formula>$O73=2</formula>
    </cfRule>
    <cfRule type="expression" dxfId="264" priority="328">
      <formula>$O73=1</formula>
    </cfRule>
  </conditionalFormatting>
  <conditionalFormatting sqref="C76">
    <cfRule type="expression" dxfId="263" priority="305">
      <formula>$O76=9</formula>
    </cfRule>
    <cfRule type="expression" dxfId="262" priority="306">
      <formula>$O76=7</formula>
    </cfRule>
    <cfRule type="expression" dxfId="261" priority="307">
      <formula>$O76=6</formula>
    </cfRule>
    <cfRule type="expression" dxfId="260" priority="308">
      <formula>$O76=5</formula>
    </cfRule>
    <cfRule type="expression" dxfId="259" priority="309">
      <formula>$O76=4</formula>
    </cfRule>
    <cfRule type="expression" dxfId="258" priority="310">
      <formula>$O76=3</formula>
    </cfRule>
    <cfRule type="expression" dxfId="257" priority="311">
      <formula>$O76=2</formula>
    </cfRule>
    <cfRule type="expression" dxfId="256" priority="312">
      <formula>$O76=1</formula>
    </cfRule>
  </conditionalFormatting>
  <conditionalFormatting sqref="C78">
    <cfRule type="expression" dxfId="255" priority="297">
      <formula>$O78=9</formula>
    </cfRule>
    <cfRule type="expression" dxfId="254" priority="298">
      <formula>$O78=7</formula>
    </cfRule>
    <cfRule type="expression" dxfId="253" priority="299">
      <formula>$O78=6</formula>
    </cfRule>
    <cfRule type="expression" dxfId="252" priority="300">
      <formula>$O78=5</formula>
    </cfRule>
    <cfRule type="expression" dxfId="251" priority="301">
      <formula>$O78=4</formula>
    </cfRule>
    <cfRule type="expression" dxfId="250" priority="302">
      <formula>$O78=3</formula>
    </cfRule>
    <cfRule type="expression" dxfId="249" priority="303">
      <formula>$O78=2</formula>
    </cfRule>
    <cfRule type="expression" dxfId="248" priority="304">
      <formula>$O78=1</formula>
    </cfRule>
  </conditionalFormatting>
  <conditionalFormatting sqref="C87">
    <cfRule type="expression" dxfId="247" priority="273">
      <formula>$O87=9</formula>
    </cfRule>
    <cfRule type="expression" dxfId="246" priority="274">
      <formula>$O87=7</formula>
    </cfRule>
    <cfRule type="expression" dxfId="245" priority="275">
      <formula>$O87=6</formula>
    </cfRule>
    <cfRule type="expression" dxfId="244" priority="276">
      <formula>$O87=5</formula>
    </cfRule>
    <cfRule type="expression" dxfId="243" priority="277">
      <formula>$O87=4</formula>
    </cfRule>
    <cfRule type="expression" dxfId="242" priority="278">
      <formula>$O87=3</formula>
    </cfRule>
    <cfRule type="expression" dxfId="241" priority="279">
      <formula>$O87=2</formula>
    </cfRule>
    <cfRule type="expression" dxfId="240" priority="280">
      <formula>$O87=1</formula>
    </cfRule>
  </conditionalFormatting>
  <conditionalFormatting sqref="C49">
    <cfRule type="expression" dxfId="239" priority="241">
      <formula>$N49=9</formula>
    </cfRule>
    <cfRule type="expression" dxfId="238" priority="242">
      <formula>$N49=7</formula>
    </cfRule>
    <cfRule type="expression" dxfId="237" priority="243">
      <formula>$N49=6</formula>
    </cfRule>
    <cfRule type="expression" dxfId="236" priority="244">
      <formula>$N49=5</formula>
    </cfRule>
    <cfRule type="expression" dxfId="235" priority="245">
      <formula>$N49=4</formula>
    </cfRule>
    <cfRule type="expression" dxfId="234" priority="246">
      <formula>$N49=3</formula>
    </cfRule>
    <cfRule type="expression" dxfId="233" priority="247">
      <formula>$N49=2</formula>
    </cfRule>
    <cfRule type="expression" dxfId="232" priority="248">
      <formula>$N49=1</formula>
    </cfRule>
  </conditionalFormatting>
  <conditionalFormatting sqref="C135">
    <cfRule type="expression" dxfId="231" priority="265">
      <formula>$O135=9</formula>
    </cfRule>
    <cfRule type="expression" dxfId="230" priority="266">
      <formula>$O135=7</formula>
    </cfRule>
    <cfRule type="expression" dxfId="229" priority="267">
      <formula>$O135=6</formula>
    </cfRule>
    <cfRule type="expression" dxfId="228" priority="268">
      <formula>$O135=5</formula>
    </cfRule>
    <cfRule type="expression" dxfId="227" priority="269">
      <formula>$O135=4</formula>
    </cfRule>
    <cfRule type="expression" dxfId="226" priority="270">
      <formula>$O135=3</formula>
    </cfRule>
    <cfRule type="expression" dxfId="225" priority="271">
      <formula>$O135=2</formula>
    </cfRule>
    <cfRule type="expression" dxfId="224" priority="272">
      <formula>$O135=1</formula>
    </cfRule>
  </conditionalFormatting>
  <conditionalFormatting sqref="C47">
    <cfRule type="expression" dxfId="223" priority="257">
      <formula>$N47=9</formula>
    </cfRule>
    <cfRule type="expression" dxfId="222" priority="258">
      <formula>$N47=7</formula>
    </cfRule>
    <cfRule type="expression" dxfId="221" priority="259">
      <formula>$N47=6</formula>
    </cfRule>
    <cfRule type="expression" dxfId="220" priority="260">
      <formula>$N47=5</formula>
    </cfRule>
    <cfRule type="expression" dxfId="219" priority="261">
      <formula>$N47=4</formula>
    </cfRule>
    <cfRule type="expression" dxfId="218" priority="262">
      <formula>$N47=3</formula>
    </cfRule>
    <cfRule type="expression" dxfId="217" priority="263">
      <formula>$N47=2</formula>
    </cfRule>
    <cfRule type="expression" dxfId="216" priority="264">
      <formula>$N47=1</formula>
    </cfRule>
  </conditionalFormatting>
  <conditionalFormatting sqref="C48">
    <cfRule type="expression" dxfId="215" priority="249">
      <formula>$N48=9</formula>
    </cfRule>
    <cfRule type="expression" dxfId="214" priority="250">
      <formula>$N48=7</formula>
    </cfRule>
    <cfRule type="expression" dxfId="213" priority="251">
      <formula>$N48=6</formula>
    </cfRule>
    <cfRule type="expression" dxfId="212" priority="252">
      <formula>$N48=5</formula>
    </cfRule>
    <cfRule type="expression" dxfId="211" priority="253">
      <formula>$N48=4</formula>
    </cfRule>
    <cfRule type="expression" dxfId="210" priority="254">
      <formula>$N48=3</formula>
    </cfRule>
    <cfRule type="expression" dxfId="209" priority="255">
      <formula>$N48=2</formula>
    </cfRule>
    <cfRule type="expression" dxfId="208" priority="256">
      <formula>$N48=1</formula>
    </cfRule>
  </conditionalFormatting>
  <conditionalFormatting sqref="C89">
    <cfRule type="expression" dxfId="207" priority="233">
      <formula>$N89=9</formula>
    </cfRule>
    <cfRule type="expression" dxfId="206" priority="234">
      <formula>$N89=7</formula>
    </cfRule>
    <cfRule type="expression" dxfId="205" priority="235">
      <formula>$N89=6</formula>
    </cfRule>
    <cfRule type="expression" dxfId="204" priority="236">
      <formula>$N89=5</formula>
    </cfRule>
    <cfRule type="expression" dxfId="203" priority="237">
      <formula>$N89=4</formula>
    </cfRule>
    <cfRule type="expression" dxfId="202" priority="238">
      <formula>$N89=3</formula>
    </cfRule>
    <cfRule type="expression" dxfId="201" priority="239">
      <formula>$N89=2</formula>
    </cfRule>
    <cfRule type="expression" dxfId="200" priority="240">
      <formula>$N89=1</formula>
    </cfRule>
  </conditionalFormatting>
  <conditionalFormatting sqref="C90:C91">
    <cfRule type="expression" dxfId="199" priority="225">
      <formula>$N90=9</formula>
    </cfRule>
    <cfRule type="expression" dxfId="198" priority="226">
      <formula>$N90=7</formula>
    </cfRule>
    <cfRule type="expression" dxfId="197" priority="227">
      <formula>$N90=6</formula>
    </cfRule>
    <cfRule type="expression" dxfId="196" priority="228">
      <formula>$N90=5</formula>
    </cfRule>
    <cfRule type="expression" dxfId="195" priority="229">
      <formula>$N90=4</formula>
    </cfRule>
    <cfRule type="expression" dxfId="194" priority="230">
      <formula>$N90=3</formula>
    </cfRule>
    <cfRule type="expression" dxfId="193" priority="231">
      <formula>$N90=2</formula>
    </cfRule>
    <cfRule type="expression" dxfId="192" priority="232">
      <formula>$N90=1</formula>
    </cfRule>
  </conditionalFormatting>
  <conditionalFormatting sqref="C92">
    <cfRule type="expression" dxfId="191" priority="217">
      <formula>$N92=9</formula>
    </cfRule>
    <cfRule type="expression" dxfId="190" priority="218">
      <formula>$N92=7</formula>
    </cfRule>
    <cfRule type="expression" dxfId="189" priority="219">
      <formula>$N92=6</formula>
    </cfRule>
    <cfRule type="expression" dxfId="188" priority="220">
      <formula>$N92=5</formula>
    </cfRule>
    <cfRule type="expression" dxfId="187" priority="221">
      <formula>$N92=4</formula>
    </cfRule>
    <cfRule type="expression" dxfId="186" priority="222">
      <formula>$N92=3</formula>
    </cfRule>
    <cfRule type="expression" dxfId="185" priority="223">
      <formula>$N92=2</formula>
    </cfRule>
    <cfRule type="expression" dxfId="184" priority="224">
      <formula>$N92=1</formula>
    </cfRule>
  </conditionalFormatting>
  <conditionalFormatting sqref="C17">
    <cfRule type="expression" dxfId="183" priority="201">
      <formula>$O17=9</formula>
    </cfRule>
    <cfRule type="expression" dxfId="182" priority="202">
      <formula>$O17=7</formula>
    </cfRule>
    <cfRule type="expression" dxfId="181" priority="203">
      <formula>$O17=6</formula>
    </cfRule>
    <cfRule type="expression" dxfId="180" priority="204">
      <formula>$O17=5</formula>
    </cfRule>
    <cfRule type="expression" dxfId="179" priority="205">
      <formula>$O17=4</formula>
    </cfRule>
    <cfRule type="expression" dxfId="178" priority="206">
      <formula>$O17=3</formula>
    </cfRule>
    <cfRule type="expression" dxfId="177" priority="207">
      <formula>$O17=2</formula>
    </cfRule>
    <cfRule type="expression" dxfId="176" priority="208">
      <formula>$O17=1</formula>
    </cfRule>
  </conditionalFormatting>
  <conditionalFormatting sqref="C99">
    <cfRule type="expression" dxfId="175" priority="185">
      <formula>$O99=9</formula>
    </cfRule>
    <cfRule type="expression" dxfId="174" priority="186">
      <formula>$O99=7</formula>
    </cfRule>
    <cfRule type="expression" dxfId="173" priority="187">
      <formula>$O99=6</formula>
    </cfRule>
    <cfRule type="expression" dxfId="172" priority="188">
      <formula>$O99=5</formula>
    </cfRule>
    <cfRule type="expression" dxfId="171" priority="189">
      <formula>$O99=4</formula>
    </cfRule>
    <cfRule type="expression" dxfId="170" priority="190">
      <formula>$O99=3</formula>
    </cfRule>
    <cfRule type="expression" dxfId="169" priority="191">
      <formula>$O99=2</formula>
    </cfRule>
    <cfRule type="expression" dxfId="168" priority="192">
      <formula>$O99=1</formula>
    </cfRule>
  </conditionalFormatting>
  <conditionalFormatting sqref="C7">
    <cfRule type="expression" dxfId="167" priority="169">
      <formula>$N7=9</formula>
    </cfRule>
    <cfRule type="expression" dxfId="166" priority="170">
      <formula>$N7=7</formula>
    </cfRule>
    <cfRule type="expression" dxfId="165" priority="171">
      <formula>$N7=6</formula>
    </cfRule>
    <cfRule type="expression" dxfId="164" priority="172">
      <formula>$N7=5</formula>
    </cfRule>
    <cfRule type="expression" dxfId="163" priority="173">
      <formula>$N7=4</formula>
    </cfRule>
    <cfRule type="expression" dxfId="162" priority="174">
      <formula>$N7=3</formula>
    </cfRule>
    <cfRule type="expression" dxfId="161" priority="175">
      <formula>$N7=2</formula>
    </cfRule>
    <cfRule type="expression" dxfId="160" priority="176">
      <formula>$N7=1</formula>
    </cfRule>
  </conditionalFormatting>
  <conditionalFormatting sqref="C97">
    <cfRule type="expression" dxfId="159" priority="153">
      <formula>$N97=9</formula>
    </cfRule>
    <cfRule type="expression" dxfId="158" priority="154">
      <formula>$N97=7</formula>
    </cfRule>
    <cfRule type="expression" dxfId="157" priority="155">
      <formula>$N97=6</formula>
    </cfRule>
    <cfRule type="expression" dxfId="156" priority="156">
      <formula>$N97=5</formula>
    </cfRule>
    <cfRule type="expression" dxfId="155" priority="157">
      <formula>$N97=4</formula>
    </cfRule>
    <cfRule type="expression" dxfId="154" priority="158">
      <formula>$N97=3</formula>
    </cfRule>
    <cfRule type="expression" dxfId="153" priority="159">
      <formula>$N97=2</formula>
    </cfRule>
    <cfRule type="expression" dxfId="152" priority="160">
      <formula>$N97=1</formula>
    </cfRule>
  </conditionalFormatting>
  <conditionalFormatting sqref="C98">
    <cfRule type="expression" dxfId="151" priority="145">
      <formula>$N98=9</formula>
    </cfRule>
    <cfRule type="expression" dxfId="150" priority="146">
      <formula>$N98=7</formula>
    </cfRule>
    <cfRule type="expression" dxfId="149" priority="147">
      <formula>$N98=6</formula>
    </cfRule>
    <cfRule type="expression" dxfId="148" priority="148">
      <formula>$N98=5</formula>
    </cfRule>
    <cfRule type="expression" dxfId="147" priority="149">
      <formula>$N98=4</formula>
    </cfRule>
    <cfRule type="expression" dxfId="146" priority="150">
      <formula>$N98=3</formula>
    </cfRule>
    <cfRule type="expression" dxfId="145" priority="151">
      <formula>$N98=2</formula>
    </cfRule>
    <cfRule type="expression" dxfId="144" priority="152">
      <formula>$N98=1</formula>
    </cfRule>
  </conditionalFormatting>
  <conditionalFormatting sqref="C80">
    <cfRule type="expression" dxfId="143" priority="129">
      <formula>$N80=9</formula>
    </cfRule>
    <cfRule type="expression" dxfId="142" priority="130">
      <formula>$N80=7</formula>
    </cfRule>
    <cfRule type="expression" dxfId="141" priority="131">
      <formula>$N80=6</formula>
    </cfRule>
    <cfRule type="expression" dxfId="140" priority="132">
      <formula>$N80=5</formula>
    </cfRule>
    <cfRule type="expression" dxfId="139" priority="133">
      <formula>$N80=4</formula>
    </cfRule>
    <cfRule type="expression" dxfId="138" priority="134">
      <formula>$N80=3</formula>
    </cfRule>
    <cfRule type="expression" dxfId="137" priority="135">
      <formula>$N80=2</formula>
    </cfRule>
    <cfRule type="expression" dxfId="136" priority="136">
      <formula>$N80=1</formula>
    </cfRule>
  </conditionalFormatting>
  <conditionalFormatting sqref="C81">
    <cfRule type="expression" dxfId="135" priority="113">
      <formula>$N81=9</formula>
    </cfRule>
    <cfRule type="expression" dxfId="134" priority="114">
      <formula>$N81=7</formula>
    </cfRule>
    <cfRule type="expression" dxfId="133" priority="115">
      <formula>$N81=6</formula>
    </cfRule>
    <cfRule type="expression" dxfId="132" priority="116">
      <formula>$N81=5</formula>
    </cfRule>
    <cfRule type="expression" dxfId="131" priority="117">
      <formula>$N81=4</formula>
    </cfRule>
    <cfRule type="expression" dxfId="130" priority="118">
      <formula>$N81=3</formula>
    </cfRule>
    <cfRule type="expression" dxfId="129" priority="119">
      <formula>$N81=2</formula>
    </cfRule>
    <cfRule type="expression" dxfId="128" priority="120">
      <formula>$N81=1</formula>
    </cfRule>
  </conditionalFormatting>
  <conditionalFormatting sqref="C82">
    <cfRule type="expression" dxfId="127" priority="105">
      <formula>$N82=9</formula>
    </cfRule>
    <cfRule type="expression" dxfId="126" priority="106">
      <formula>$N82=7</formula>
    </cfRule>
    <cfRule type="expression" dxfId="125" priority="107">
      <formula>$N82=6</formula>
    </cfRule>
    <cfRule type="expression" dxfId="124" priority="108">
      <formula>$N82=5</formula>
    </cfRule>
    <cfRule type="expression" dxfId="123" priority="109">
      <formula>$N82=4</formula>
    </cfRule>
    <cfRule type="expression" dxfId="122" priority="110">
      <formula>$N82=3</formula>
    </cfRule>
    <cfRule type="expression" dxfId="121" priority="111">
      <formula>$N82=2</formula>
    </cfRule>
    <cfRule type="expression" dxfId="120" priority="112">
      <formula>$N82=1</formula>
    </cfRule>
  </conditionalFormatting>
  <conditionalFormatting sqref="C83">
    <cfRule type="expression" dxfId="119" priority="97">
      <formula>$N83=9</formula>
    </cfRule>
    <cfRule type="expression" dxfId="118" priority="98">
      <formula>$N83=7</formula>
    </cfRule>
    <cfRule type="expression" dxfId="117" priority="99">
      <formula>$N83=6</formula>
    </cfRule>
    <cfRule type="expression" dxfId="116" priority="100">
      <formula>$N83=5</formula>
    </cfRule>
    <cfRule type="expression" dxfId="115" priority="101">
      <formula>$N83=4</formula>
    </cfRule>
    <cfRule type="expression" dxfId="114" priority="102">
      <formula>$N83=3</formula>
    </cfRule>
    <cfRule type="expression" dxfId="113" priority="103">
      <formula>$N83=2</formula>
    </cfRule>
    <cfRule type="expression" dxfId="112" priority="104">
      <formula>$N83=1</formula>
    </cfRule>
  </conditionalFormatting>
  <conditionalFormatting sqref="C84">
    <cfRule type="expression" dxfId="111" priority="89">
      <formula>$N84=9</formula>
    </cfRule>
    <cfRule type="expression" dxfId="110" priority="90">
      <formula>$N84=7</formula>
    </cfRule>
    <cfRule type="expression" dxfId="109" priority="91">
      <formula>$N84=6</formula>
    </cfRule>
    <cfRule type="expression" dxfId="108" priority="92">
      <formula>$N84=5</formula>
    </cfRule>
    <cfRule type="expression" dxfId="107" priority="93">
      <formula>$N84=4</formula>
    </cfRule>
    <cfRule type="expression" dxfId="106" priority="94">
      <formula>$N84=3</formula>
    </cfRule>
    <cfRule type="expression" dxfId="105" priority="95">
      <formula>$N84=2</formula>
    </cfRule>
    <cfRule type="expression" dxfId="104" priority="96">
      <formula>$N84=1</formula>
    </cfRule>
  </conditionalFormatting>
  <conditionalFormatting sqref="C86">
    <cfRule type="expression" dxfId="103" priority="73">
      <formula>$N86=9</formula>
    </cfRule>
    <cfRule type="expression" dxfId="102" priority="74">
      <formula>$N86=7</formula>
    </cfRule>
    <cfRule type="expression" dxfId="101" priority="75">
      <formula>$N86=6</formula>
    </cfRule>
    <cfRule type="expression" dxfId="100" priority="76">
      <formula>$N86=5</formula>
    </cfRule>
    <cfRule type="expression" dxfId="99" priority="77">
      <formula>$N86=4</formula>
    </cfRule>
    <cfRule type="expression" dxfId="98" priority="78">
      <formula>$N86=3</formula>
    </cfRule>
    <cfRule type="expression" dxfId="97" priority="79">
      <formula>$N86=2</formula>
    </cfRule>
    <cfRule type="expression" dxfId="96" priority="80">
      <formula>$N86=1</formula>
    </cfRule>
  </conditionalFormatting>
  <conditionalFormatting sqref="C85">
    <cfRule type="expression" dxfId="95" priority="81">
      <formula>$N85=9</formula>
    </cfRule>
    <cfRule type="expression" dxfId="94" priority="82">
      <formula>$N85=7</formula>
    </cfRule>
    <cfRule type="expression" dxfId="93" priority="83">
      <formula>$N85=6</formula>
    </cfRule>
    <cfRule type="expression" dxfId="92" priority="84">
      <formula>$N85=5</formula>
    </cfRule>
    <cfRule type="expression" dxfId="91" priority="85">
      <formula>$N85=4</formula>
    </cfRule>
    <cfRule type="expression" dxfId="90" priority="86">
      <formula>$N85=3</formula>
    </cfRule>
    <cfRule type="expression" dxfId="89" priority="87">
      <formula>$N85=2</formula>
    </cfRule>
    <cfRule type="expression" dxfId="88" priority="88">
      <formula>$N85=1</formula>
    </cfRule>
  </conditionalFormatting>
  <conditionalFormatting sqref="C106">
    <cfRule type="expression" dxfId="87" priority="1233">
      <formula>#REF!=9</formula>
    </cfRule>
    <cfRule type="expression" dxfId="86" priority="1234">
      <formula>#REF!=7</formula>
    </cfRule>
    <cfRule type="expression" dxfId="85" priority="1235">
      <formula>#REF!=6</formula>
    </cfRule>
    <cfRule type="expression" dxfId="84" priority="1236">
      <formula>#REF!=5</formula>
    </cfRule>
    <cfRule type="expression" dxfId="83" priority="1237">
      <formula>#REF!=4</formula>
    </cfRule>
    <cfRule type="expression" dxfId="82" priority="1238">
      <formula>#REF!=3</formula>
    </cfRule>
    <cfRule type="expression" dxfId="81" priority="1239">
      <formula>#REF!=2</formula>
    </cfRule>
    <cfRule type="expression" dxfId="80" priority="1240">
      <formula>#REF!=1</formula>
    </cfRule>
  </conditionalFormatting>
  <conditionalFormatting sqref="C107">
    <cfRule type="expression" dxfId="79" priority="65">
      <formula>$N107=9</formula>
    </cfRule>
    <cfRule type="expression" dxfId="78" priority="66">
      <formula>$N107=7</formula>
    </cfRule>
    <cfRule type="expression" dxfId="77" priority="67">
      <formula>$N107=6</formula>
    </cfRule>
    <cfRule type="expression" dxfId="76" priority="68">
      <formula>$N107=5</formula>
    </cfRule>
    <cfRule type="expression" dxfId="75" priority="69">
      <formula>$N107=4</formula>
    </cfRule>
    <cfRule type="expression" dxfId="74" priority="70">
      <formula>$N107=3</formula>
    </cfRule>
    <cfRule type="expression" dxfId="73" priority="71">
      <formula>$N107=2</formula>
    </cfRule>
    <cfRule type="expression" dxfId="72" priority="72">
      <formula>$N107=1</formula>
    </cfRule>
  </conditionalFormatting>
  <conditionalFormatting sqref="C112">
    <cfRule type="expression" dxfId="71" priority="57">
      <formula>$N112=9</formula>
    </cfRule>
    <cfRule type="expression" dxfId="70" priority="58">
      <formula>$N112=7</formula>
    </cfRule>
    <cfRule type="expression" dxfId="69" priority="59">
      <formula>$N112=6</formula>
    </cfRule>
    <cfRule type="expression" dxfId="68" priority="60">
      <formula>$N112=5</formula>
    </cfRule>
    <cfRule type="expression" dxfId="67" priority="61">
      <formula>$N112=4</formula>
    </cfRule>
    <cfRule type="expression" dxfId="66" priority="62">
      <formula>$N112=3</formula>
    </cfRule>
    <cfRule type="expression" dxfId="65" priority="63">
      <formula>$N112=2</formula>
    </cfRule>
    <cfRule type="expression" dxfId="64" priority="64">
      <formula>$N112=1</formula>
    </cfRule>
  </conditionalFormatting>
  <conditionalFormatting sqref="C113">
    <cfRule type="expression" dxfId="63" priority="49">
      <formula>$N113=9</formula>
    </cfRule>
    <cfRule type="expression" dxfId="62" priority="50">
      <formula>$N113=7</formula>
    </cfRule>
    <cfRule type="expression" dxfId="61" priority="51">
      <formula>$N113=6</formula>
    </cfRule>
    <cfRule type="expression" dxfId="60" priority="52">
      <formula>$N113=5</formula>
    </cfRule>
    <cfRule type="expression" dxfId="59" priority="53">
      <formula>$N113=4</formula>
    </cfRule>
    <cfRule type="expression" dxfId="58" priority="54">
      <formula>$N113=3</formula>
    </cfRule>
    <cfRule type="expression" dxfId="57" priority="55">
      <formula>$N113=2</formula>
    </cfRule>
    <cfRule type="expression" dxfId="56" priority="56">
      <formula>$N113=1</formula>
    </cfRule>
  </conditionalFormatting>
  <conditionalFormatting sqref="C128">
    <cfRule type="expression" dxfId="55" priority="41">
      <formula>$N128=9</formula>
    </cfRule>
    <cfRule type="expression" dxfId="54" priority="42">
      <formula>$N128=7</formula>
    </cfRule>
    <cfRule type="expression" dxfId="53" priority="43">
      <formula>$N128=6</formula>
    </cfRule>
    <cfRule type="expression" dxfId="52" priority="44">
      <formula>$N128=5</formula>
    </cfRule>
    <cfRule type="expression" dxfId="51" priority="45">
      <formula>$N128=4</formula>
    </cfRule>
    <cfRule type="expression" dxfId="50" priority="46">
      <formula>$N128=3</formula>
    </cfRule>
    <cfRule type="expression" dxfId="49" priority="47">
      <formula>$N128=2</formula>
    </cfRule>
    <cfRule type="expression" dxfId="48" priority="48">
      <formula>$N128=1</formula>
    </cfRule>
  </conditionalFormatting>
  <conditionalFormatting sqref="C42">
    <cfRule type="expression" dxfId="47" priority="33">
      <formula>$N42=9</formula>
    </cfRule>
    <cfRule type="expression" dxfId="46" priority="34">
      <formula>$N42=7</formula>
    </cfRule>
    <cfRule type="expression" dxfId="45" priority="35">
      <formula>$N42=6</formula>
    </cfRule>
    <cfRule type="expression" dxfId="44" priority="36">
      <formula>$N42=5</formula>
    </cfRule>
    <cfRule type="expression" dxfId="43" priority="37">
      <formula>$N42=4</formula>
    </cfRule>
    <cfRule type="expression" dxfId="42" priority="38">
      <formula>$N42=3</formula>
    </cfRule>
    <cfRule type="expression" dxfId="41" priority="39">
      <formula>$N42=2</formula>
    </cfRule>
    <cfRule type="expression" dxfId="40" priority="40">
      <formula>$N42=1</formula>
    </cfRule>
  </conditionalFormatting>
  <conditionalFormatting sqref="C45">
    <cfRule type="expression" dxfId="39" priority="25">
      <formula>$N45=9</formula>
    </cfRule>
    <cfRule type="expression" dxfId="38" priority="26">
      <formula>$N45=7</formula>
    </cfRule>
    <cfRule type="expression" dxfId="37" priority="27">
      <formula>$N45=6</formula>
    </cfRule>
    <cfRule type="expression" dxfId="36" priority="28">
      <formula>$N45=5</formula>
    </cfRule>
    <cfRule type="expression" dxfId="35" priority="29">
      <formula>$N45=4</formula>
    </cfRule>
    <cfRule type="expression" dxfId="34" priority="30">
      <formula>$N45=3</formula>
    </cfRule>
    <cfRule type="expression" dxfId="33" priority="31">
      <formula>$N45=2</formula>
    </cfRule>
    <cfRule type="expression" dxfId="32" priority="32">
      <formula>$N45=1</formula>
    </cfRule>
  </conditionalFormatting>
  <conditionalFormatting sqref="C43">
    <cfRule type="expression" dxfId="31" priority="17">
      <formula>$N43=9</formula>
    </cfRule>
    <cfRule type="expression" dxfId="30" priority="18">
      <formula>$N43=7</formula>
    </cfRule>
    <cfRule type="expression" dxfId="29" priority="19">
      <formula>$N43=6</formula>
    </cfRule>
    <cfRule type="expression" dxfId="28" priority="20">
      <formula>$N43=5</formula>
    </cfRule>
    <cfRule type="expression" dxfId="27" priority="21">
      <formula>$N43=4</formula>
    </cfRule>
    <cfRule type="expression" dxfId="26" priority="22">
      <formula>$N43=3</formula>
    </cfRule>
    <cfRule type="expression" dxfId="25" priority="23">
      <formula>$N43=2</formula>
    </cfRule>
    <cfRule type="expression" dxfId="24" priority="24">
      <formula>$N43=1</formula>
    </cfRule>
  </conditionalFormatting>
  <conditionalFormatting sqref="C44">
    <cfRule type="expression" dxfId="23" priority="9">
      <formula>$N44=9</formula>
    </cfRule>
    <cfRule type="expression" dxfId="22" priority="10">
      <formula>$N44=7</formula>
    </cfRule>
    <cfRule type="expression" dxfId="21" priority="11">
      <formula>$N44=6</formula>
    </cfRule>
    <cfRule type="expression" dxfId="20" priority="12">
      <formula>$N44=5</formula>
    </cfRule>
    <cfRule type="expression" dxfId="19" priority="13">
      <formula>$N44=4</formula>
    </cfRule>
    <cfRule type="expression" dxfId="18" priority="14">
      <formula>$N44=3</formula>
    </cfRule>
    <cfRule type="expression" dxfId="17" priority="15">
      <formula>$N44=2</formula>
    </cfRule>
    <cfRule type="expression" dxfId="16" priority="16">
      <formula>$N44=1</formula>
    </cfRule>
  </conditionalFormatting>
  <conditionalFormatting sqref="C137">
    <cfRule type="expression" dxfId="15" priority="1">
      <formula>$N137=9</formula>
    </cfRule>
    <cfRule type="expression" dxfId="14" priority="2">
      <formula>$N137=7</formula>
    </cfRule>
    <cfRule type="expression" dxfId="13" priority="3">
      <formula>$N137=6</formula>
    </cfRule>
    <cfRule type="expression" dxfId="12" priority="4">
      <formula>$N137=5</formula>
    </cfRule>
    <cfRule type="expression" dxfId="11" priority="5">
      <formula>$N137=4</formula>
    </cfRule>
    <cfRule type="expression" dxfId="10" priority="6">
      <formula>$N137=3</formula>
    </cfRule>
    <cfRule type="expression" dxfId="9" priority="7">
      <formula>$N137=2</formula>
    </cfRule>
    <cfRule type="expression" dxfId="8" priority="8">
      <formula>$N137=1</formula>
    </cfRule>
  </conditionalFormatting>
  <conditionalFormatting sqref="C122:C124">
    <cfRule type="expression" dxfId="7" priority="1641">
      <formula>#REF!=9</formula>
    </cfRule>
    <cfRule type="expression" dxfId="6" priority="1642">
      <formula>#REF!=7</formula>
    </cfRule>
    <cfRule type="expression" dxfId="5" priority="1643">
      <formula>#REF!=6</formula>
    </cfRule>
    <cfRule type="expression" dxfId="4" priority="1644">
      <formula>#REF!=5</formula>
    </cfRule>
    <cfRule type="expression" dxfId="3" priority="1645">
      <formula>#REF!=4</formula>
    </cfRule>
    <cfRule type="expression" dxfId="2" priority="1646">
      <formula>#REF!=3</formula>
    </cfRule>
    <cfRule type="expression" dxfId="1" priority="1647">
      <formula>#REF!=2</formula>
    </cfRule>
    <cfRule type="expression" dxfId="0" priority="1648">
      <formula>#REF!=1</formula>
    </cfRule>
  </conditionalFormatting>
  <pageMargins left="0.11811023622047245" right="0" top="0.74803149606299213" bottom="0.74803149606299213" header="0.31496062992125984" footer="0.31496062992125984"/>
  <pageSetup firstPageNumber="64" orientation="landscape" useFirstPageNumber="1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32"/>
  <sheetViews>
    <sheetView tabSelected="1" workbookViewId="0">
      <selection activeCell="J228" sqref="A1:XFD1048576"/>
    </sheetView>
  </sheetViews>
  <sheetFormatPr defaultRowHeight="14.4" x14ac:dyDescent="0.3"/>
  <cols>
    <col min="1" max="1" width="4" customWidth="1"/>
    <col min="2" max="2" width="13.33203125" customWidth="1"/>
    <col min="3" max="3" width="52.5546875" customWidth="1"/>
    <col min="4" max="4" width="21.44140625" customWidth="1"/>
    <col min="5" max="5" width="19" customWidth="1"/>
    <col min="6" max="6" width="20.44140625" customWidth="1"/>
    <col min="8" max="8" width="21.21875" bestFit="1" customWidth="1"/>
    <col min="9" max="9" width="19" bestFit="1" customWidth="1"/>
    <col min="10" max="10" width="20.109375" bestFit="1" customWidth="1"/>
  </cols>
  <sheetData>
    <row r="1" spans="1:10" x14ac:dyDescent="0.3">
      <c r="B1" s="590" t="s">
        <v>1006</v>
      </c>
      <c r="C1" s="590"/>
      <c r="D1" s="590"/>
      <c r="E1" s="590"/>
      <c r="F1" s="590"/>
      <c r="G1" s="450"/>
    </row>
    <row r="2" spans="1:10" ht="15" customHeight="1" x14ac:dyDescent="0.3">
      <c r="B2" s="591" t="s">
        <v>1163</v>
      </c>
      <c r="C2" s="591"/>
      <c r="D2" s="591"/>
      <c r="E2" s="591"/>
      <c r="F2" s="591"/>
      <c r="G2" s="451"/>
    </row>
    <row r="3" spans="1:10" ht="15" customHeight="1" x14ac:dyDescent="0.3">
      <c r="B3" s="591" t="s">
        <v>1007</v>
      </c>
      <c r="C3" s="591"/>
      <c r="D3" s="591"/>
      <c r="E3" s="591"/>
      <c r="F3" s="591"/>
      <c r="G3" s="451"/>
    </row>
    <row r="4" spans="1:10" x14ac:dyDescent="0.3">
      <c r="B4" s="452"/>
      <c r="C4" s="452"/>
      <c r="D4" s="452"/>
      <c r="E4" s="452"/>
      <c r="F4" s="452"/>
    </row>
    <row r="5" spans="1:10" ht="15" thickBot="1" x14ac:dyDescent="0.35">
      <c r="B5" s="585" t="s">
        <v>1008</v>
      </c>
      <c r="C5" s="585"/>
      <c r="D5" s="585"/>
      <c r="E5" s="585"/>
      <c r="F5" s="585"/>
    </row>
    <row r="6" spans="1:10" ht="27" thickBot="1" x14ac:dyDescent="0.35">
      <c r="A6" s="465" t="s">
        <v>0</v>
      </c>
      <c r="B6" s="465" t="s">
        <v>1009</v>
      </c>
      <c r="C6" s="464" t="s">
        <v>1010</v>
      </c>
      <c r="D6" s="464" t="s">
        <v>1012</v>
      </c>
      <c r="E6" s="464" t="s">
        <v>1011</v>
      </c>
      <c r="F6" s="464" t="s">
        <v>1164</v>
      </c>
    </row>
    <row r="7" spans="1:10" ht="21.9" customHeight="1" thickBot="1" x14ac:dyDescent="0.35">
      <c r="A7" s="453"/>
      <c r="B7" s="453"/>
      <c r="C7" s="454" t="s">
        <v>789</v>
      </c>
      <c r="D7" s="455">
        <f>D8+D77+D165+D169+D152</f>
        <v>59705448999.997787</v>
      </c>
      <c r="E7" s="455">
        <f t="shared" ref="E7" si="0">E8+E77+E165+E169+E152</f>
        <v>61863245011</v>
      </c>
      <c r="F7" s="455">
        <f>F8+F77+F165+F169+F152</f>
        <v>121568694010.9978</v>
      </c>
      <c r="H7" s="448"/>
      <c r="I7" s="448"/>
      <c r="J7" s="448"/>
    </row>
    <row r="8" spans="1:10" ht="15" thickBot="1" x14ac:dyDescent="0.35">
      <c r="A8" s="456"/>
      <c r="B8" s="456" t="s">
        <v>790</v>
      </c>
      <c r="C8" s="457" t="s">
        <v>791</v>
      </c>
      <c r="D8" s="458">
        <f t="shared" ref="D8:E8" si="1">D9+D33+D38+D45+D51+D56+D67+D70+D72+D75</f>
        <v>3639502522.5899992</v>
      </c>
      <c r="E8" s="458">
        <f t="shared" si="1"/>
        <v>9189074500</v>
      </c>
      <c r="F8" s="458">
        <f>F9+F33+F38+F45+F51+F56+F67+F70+F72+F75</f>
        <v>12828577022.589998</v>
      </c>
      <c r="J8" s="449"/>
    </row>
    <row r="9" spans="1:10" ht="15" thickBot="1" x14ac:dyDescent="0.35">
      <c r="A9" s="459"/>
      <c r="B9" s="459" t="s">
        <v>792</v>
      </c>
      <c r="C9" s="442" t="s">
        <v>793</v>
      </c>
      <c r="D9" s="460">
        <f t="shared" ref="D9:E9" si="2">SUM(D10:D32)</f>
        <v>1760332799.4677777</v>
      </c>
      <c r="E9" s="460">
        <f t="shared" si="2"/>
        <v>2797065500</v>
      </c>
      <c r="F9" s="460">
        <f>SUM(F10:F32)</f>
        <v>4557398299.4677763</v>
      </c>
    </row>
    <row r="10" spans="1:10" ht="15" thickBot="1" x14ac:dyDescent="0.35">
      <c r="A10" s="461">
        <v>1</v>
      </c>
      <c r="B10" s="461" t="s">
        <v>70</v>
      </c>
      <c r="C10" s="441" t="s">
        <v>311</v>
      </c>
      <c r="D10" s="462">
        <f>'Personnel Detail'!R26</f>
        <v>547907408.0666666</v>
      </c>
      <c r="E10" s="462">
        <f>1245598000-'Pooled Fund OH Cost'!H9+'Details OH Cost'!F31</f>
        <v>1465598000</v>
      </c>
      <c r="F10" s="462">
        <f>D10+E10</f>
        <v>2013505408.0666666</v>
      </c>
      <c r="H10" s="8"/>
    </row>
    <row r="11" spans="1:10" ht="15" thickBot="1" x14ac:dyDescent="0.35">
      <c r="A11" s="461">
        <v>2</v>
      </c>
      <c r="B11" s="461" t="s">
        <v>71</v>
      </c>
      <c r="C11" s="441" t="s">
        <v>794</v>
      </c>
      <c r="D11" s="462">
        <f>'Personnel Detail'!R17</f>
        <v>75098953.082222238</v>
      </c>
      <c r="E11" s="462">
        <f>318375000+'Details OH Cost'!F57</f>
        <v>360375000</v>
      </c>
      <c r="F11" s="462">
        <f t="shared" ref="F11:F76" si="3">D11+E11</f>
        <v>435473953.08222222</v>
      </c>
      <c r="I11" s="8"/>
    </row>
    <row r="12" spans="1:10" ht="15" thickBot="1" x14ac:dyDescent="0.35">
      <c r="A12" s="461">
        <v>3</v>
      </c>
      <c r="B12" s="461" t="s">
        <v>72</v>
      </c>
      <c r="C12" s="441" t="s">
        <v>795</v>
      </c>
      <c r="D12" s="516">
        <v>0</v>
      </c>
      <c r="E12" s="462">
        <v>110000000</v>
      </c>
      <c r="F12" s="462">
        <f t="shared" si="3"/>
        <v>110000000</v>
      </c>
    </row>
    <row r="13" spans="1:10" ht="15" thickBot="1" x14ac:dyDescent="0.35">
      <c r="A13" s="461">
        <v>4</v>
      </c>
      <c r="B13" s="461" t="s">
        <v>73</v>
      </c>
      <c r="C13" s="441" t="s">
        <v>796</v>
      </c>
      <c r="D13" s="516">
        <v>0</v>
      </c>
      <c r="E13" s="462">
        <v>83000000</v>
      </c>
      <c r="F13" s="462">
        <f t="shared" si="3"/>
        <v>83000000</v>
      </c>
      <c r="H13" s="491"/>
    </row>
    <row r="14" spans="1:10" ht="15" thickBot="1" x14ac:dyDescent="0.35">
      <c r="A14" s="461">
        <v>5</v>
      </c>
      <c r="B14" s="461" t="s">
        <v>560</v>
      </c>
      <c r="C14" s="441" t="s">
        <v>797</v>
      </c>
      <c r="D14" s="516">
        <v>0</v>
      </c>
      <c r="E14" s="462">
        <v>29000000</v>
      </c>
      <c r="F14" s="462">
        <f t="shared" si="3"/>
        <v>29000000</v>
      </c>
    </row>
    <row r="15" spans="1:10" ht="15" thickBot="1" x14ac:dyDescent="0.35">
      <c r="A15" s="461">
        <v>6</v>
      </c>
      <c r="B15" s="461" t="s">
        <v>561</v>
      </c>
      <c r="C15" s="441" t="s">
        <v>798</v>
      </c>
      <c r="D15" s="516">
        <v>0</v>
      </c>
      <c r="E15" s="462">
        <v>50000000</v>
      </c>
      <c r="F15" s="462">
        <f t="shared" si="3"/>
        <v>50000000</v>
      </c>
    </row>
    <row r="16" spans="1:10" ht="15" thickBot="1" x14ac:dyDescent="0.35">
      <c r="A16" s="461">
        <v>7</v>
      </c>
      <c r="B16" s="461" t="s">
        <v>74</v>
      </c>
      <c r="C16" s="441" t="s">
        <v>562</v>
      </c>
      <c r="D16" s="462">
        <f>'Personnel Detail'!R80</f>
        <v>13635471.41</v>
      </c>
      <c r="E16" s="462">
        <f>27100000+'Details OH Cost'!F88</f>
        <v>42100000</v>
      </c>
      <c r="F16" s="462">
        <f t="shared" si="3"/>
        <v>55735471.409999996</v>
      </c>
    </row>
    <row r="17" spans="1:6" ht="15" thickBot="1" x14ac:dyDescent="0.35">
      <c r="A17" s="461">
        <v>8</v>
      </c>
      <c r="B17" s="461" t="s">
        <v>166</v>
      </c>
      <c r="C17" s="441" t="s">
        <v>799</v>
      </c>
      <c r="D17" s="516">
        <v>0</v>
      </c>
      <c r="E17" s="462">
        <v>14000000</v>
      </c>
      <c r="F17" s="462">
        <f t="shared" si="3"/>
        <v>14000000</v>
      </c>
    </row>
    <row r="18" spans="1:6" ht="15" thickBot="1" x14ac:dyDescent="0.35">
      <c r="A18" s="461">
        <v>9</v>
      </c>
      <c r="B18" s="461" t="s">
        <v>244</v>
      </c>
      <c r="C18" s="441" t="s">
        <v>800</v>
      </c>
      <c r="D18" s="462">
        <f>'Personnel Detail'!R45</f>
        <v>22943250.415555559</v>
      </c>
      <c r="E18" s="462">
        <v>86475000</v>
      </c>
      <c r="F18" s="462">
        <f t="shared" si="3"/>
        <v>109418250.41555557</v>
      </c>
    </row>
    <row r="19" spans="1:6" ht="15" thickBot="1" x14ac:dyDescent="0.35">
      <c r="A19" s="461">
        <v>10</v>
      </c>
      <c r="B19" s="461" t="s">
        <v>76</v>
      </c>
      <c r="C19" s="441" t="s">
        <v>801</v>
      </c>
      <c r="D19" s="462">
        <f>'Personnel Detail'!R57</f>
        <v>855100519.5288887</v>
      </c>
      <c r="E19" s="462">
        <v>73262500</v>
      </c>
      <c r="F19" s="462">
        <f t="shared" si="3"/>
        <v>928363019.5288887</v>
      </c>
    </row>
    <row r="20" spans="1:6" ht="15" thickBot="1" x14ac:dyDescent="0.35">
      <c r="A20" s="461">
        <v>11</v>
      </c>
      <c r="B20" s="461" t="s">
        <v>77</v>
      </c>
      <c r="C20" s="441" t="s">
        <v>419</v>
      </c>
      <c r="D20" s="462">
        <f>'Personnel Detail'!R11</f>
        <v>70846216.575555548</v>
      </c>
      <c r="E20" s="462">
        <f>46158750+'Details OH Cost'!F121</f>
        <v>73158750</v>
      </c>
      <c r="F20" s="462">
        <f t="shared" si="3"/>
        <v>144004966.57555556</v>
      </c>
    </row>
    <row r="21" spans="1:6" ht="15" thickBot="1" x14ac:dyDescent="0.35">
      <c r="A21" s="461">
        <v>12</v>
      </c>
      <c r="B21" s="461" t="s">
        <v>78</v>
      </c>
      <c r="C21" s="441" t="s">
        <v>802</v>
      </c>
      <c r="D21" s="462">
        <f>'Personnel Detail'!R56</f>
        <v>52002825.995555557</v>
      </c>
      <c r="E21" s="462">
        <v>27000000</v>
      </c>
      <c r="F21" s="462">
        <f t="shared" si="3"/>
        <v>79002825.99555555</v>
      </c>
    </row>
    <row r="22" spans="1:6" ht="15" thickBot="1" x14ac:dyDescent="0.35">
      <c r="A22" s="461">
        <v>13</v>
      </c>
      <c r="B22" s="461" t="s">
        <v>79</v>
      </c>
      <c r="C22" s="441" t="s">
        <v>803</v>
      </c>
      <c r="D22" s="462">
        <f>'Personnel Detail'!R51+'Social Contributions'!E9</f>
        <v>73644183.513333336</v>
      </c>
      <c r="E22" s="462">
        <f>25000000+'Details OH Cost'!F156</f>
        <v>32000000</v>
      </c>
      <c r="F22" s="462">
        <f t="shared" si="3"/>
        <v>105644183.51333334</v>
      </c>
    </row>
    <row r="23" spans="1:6" ht="15" thickBot="1" x14ac:dyDescent="0.35">
      <c r="A23" s="461">
        <v>14</v>
      </c>
      <c r="B23" s="461" t="s">
        <v>80</v>
      </c>
      <c r="C23" s="441" t="s">
        <v>804</v>
      </c>
      <c r="D23" s="516">
        <v>0</v>
      </c>
      <c r="E23" s="462">
        <f>61196250+'Details OH Cost'!F187</f>
        <v>76196250</v>
      </c>
      <c r="F23" s="462">
        <f t="shared" si="3"/>
        <v>76196250</v>
      </c>
    </row>
    <row r="24" spans="1:6" ht="15" thickBot="1" x14ac:dyDescent="0.35">
      <c r="A24" s="461">
        <v>15</v>
      </c>
      <c r="B24" s="461" t="s">
        <v>81</v>
      </c>
      <c r="C24" s="441" t="s">
        <v>805</v>
      </c>
      <c r="D24" s="516">
        <v>0</v>
      </c>
      <c r="E24" s="462">
        <v>51550000</v>
      </c>
      <c r="F24" s="462">
        <f t="shared" si="3"/>
        <v>51550000</v>
      </c>
    </row>
    <row r="25" spans="1:6" ht="15" thickBot="1" x14ac:dyDescent="0.35">
      <c r="A25" s="461">
        <v>16</v>
      </c>
      <c r="B25" s="461" t="s">
        <v>82</v>
      </c>
      <c r="C25" s="441" t="s">
        <v>806</v>
      </c>
      <c r="D25" s="516">
        <f>'Personnel Detail'!R60</f>
        <v>49153970.880000003</v>
      </c>
      <c r="E25" s="462">
        <v>52350000</v>
      </c>
      <c r="F25" s="462">
        <f t="shared" si="3"/>
        <v>101503970.88</v>
      </c>
    </row>
    <row r="26" spans="1:6" ht="15" thickBot="1" x14ac:dyDescent="0.35">
      <c r="A26" s="461">
        <v>17</v>
      </c>
      <c r="B26" s="461" t="s">
        <v>172</v>
      </c>
      <c r="C26" s="441" t="s">
        <v>535</v>
      </c>
      <c r="D26" s="516">
        <v>0</v>
      </c>
      <c r="E26" s="462">
        <f>39000000+'Details OH Cost'!F220</f>
        <v>51000000</v>
      </c>
      <c r="F26" s="462">
        <f t="shared" si="3"/>
        <v>51000000</v>
      </c>
    </row>
    <row r="27" spans="1:6" ht="15" thickBot="1" x14ac:dyDescent="0.35">
      <c r="A27" s="461">
        <v>18</v>
      </c>
      <c r="B27" s="461" t="s">
        <v>563</v>
      </c>
      <c r="C27" s="441" t="s">
        <v>807</v>
      </c>
      <c r="D27" s="516">
        <v>0</v>
      </c>
      <c r="E27" s="462">
        <v>6000000</v>
      </c>
      <c r="F27" s="462">
        <f t="shared" si="3"/>
        <v>6000000</v>
      </c>
    </row>
    <row r="28" spans="1:6" ht="15" thickBot="1" x14ac:dyDescent="0.35">
      <c r="A28" s="461">
        <v>19</v>
      </c>
      <c r="B28" s="461" t="s">
        <v>564</v>
      </c>
      <c r="C28" s="441" t="s">
        <v>808</v>
      </c>
      <c r="D28" s="516">
        <v>0</v>
      </c>
      <c r="E28" s="462">
        <v>48000000</v>
      </c>
      <c r="F28" s="462">
        <f t="shared" si="3"/>
        <v>48000000</v>
      </c>
    </row>
    <row r="29" spans="1:6" ht="15" thickBot="1" x14ac:dyDescent="0.35">
      <c r="A29" s="461">
        <v>20</v>
      </c>
      <c r="B29" s="461" t="s">
        <v>565</v>
      </c>
      <c r="C29" s="441" t="s">
        <v>987</v>
      </c>
      <c r="D29" s="462">
        <f>'Personnel Detail'!R27</f>
        <v>0</v>
      </c>
      <c r="E29" s="516">
        <v>0</v>
      </c>
      <c r="F29" s="462">
        <f t="shared" si="3"/>
        <v>0</v>
      </c>
    </row>
    <row r="30" spans="1:6" ht="15" thickBot="1" x14ac:dyDescent="0.35">
      <c r="A30" s="470">
        <v>21</v>
      </c>
      <c r="B30" s="470" t="s">
        <v>566</v>
      </c>
      <c r="C30" s="471" t="s">
        <v>809</v>
      </c>
      <c r="D30" s="517">
        <v>0</v>
      </c>
      <c r="E30" s="518">
        <v>36000000</v>
      </c>
      <c r="F30" s="518">
        <f t="shared" si="3"/>
        <v>36000000</v>
      </c>
    </row>
    <row r="31" spans="1:6" x14ac:dyDescent="0.3">
      <c r="A31" s="469"/>
      <c r="B31" s="469"/>
      <c r="C31" s="472" t="s">
        <v>1015</v>
      </c>
      <c r="D31" s="519"/>
      <c r="E31" s="520"/>
      <c r="F31" s="520"/>
    </row>
    <row r="32" spans="1:6" ht="15" thickBot="1" x14ac:dyDescent="0.35">
      <c r="A32" s="461">
        <v>22</v>
      </c>
      <c r="B32" s="461" t="s">
        <v>83</v>
      </c>
      <c r="C32" s="441" t="s">
        <v>615</v>
      </c>
      <c r="D32" s="516">
        <v>0</v>
      </c>
      <c r="E32" s="462">
        <v>30000000</v>
      </c>
      <c r="F32" s="462">
        <f t="shared" si="3"/>
        <v>30000000</v>
      </c>
    </row>
    <row r="33" spans="1:6" ht="15" thickBot="1" x14ac:dyDescent="0.35">
      <c r="A33" s="459"/>
      <c r="B33" s="459" t="s">
        <v>810</v>
      </c>
      <c r="C33" s="442" t="s">
        <v>811</v>
      </c>
      <c r="D33" s="521">
        <f t="shared" ref="D33:E33" si="4">SUM(D34:D37)</f>
        <v>115708877.97777778</v>
      </c>
      <c r="E33" s="521">
        <f t="shared" si="4"/>
        <v>520540000</v>
      </c>
      <c r="F33" s="521">
        <f>SUM(F34:F37)</f>
        <v>636248877.97777784</v>
      </c>
    </row>
    <row r="34" spans="1:6" ht="15" thickBot="1" x14ac:dyDescent="0.35">
      <c r="A34" s="461">
        <v>23</v>
      </c>
      <c r="B34" s="461" t="s">
        <v>567</v>
      </c>
      <c r="C34" s="441" t="s">
        <v>811</v>
      </c>
      <c r="D34" s="516">
        <v>0</v>
      </c>
      <c r="E34" s="462">
        <v>30000000</v>
      </c>
      <c r="F34" s="462">
        <f t="shared" si="3"/>
        <v>30000000</v>
      </c>
    </row>
    <row r="35" spans="1:6" ht="15" thickBot="1" x14ac:dyDescent="0.35">
      <c r="A35" s="461">
        <v>24</v>
      </c>
      <c r="B35" s="461" t="s">
        <v>412</v>
      </c>
      <c r="C35" s="441" t="s">
        <v>409</v>
      </c>
      <c r="D35" s="462">
        <f>'Personnel Detail'!R25</f>
        <v>83727753.604444444</v>
      </c>
      <c r="E35" s="462">
        <f>362000000+'Details OH Cost'!F475</f>
        <v>420640000</v>
      </c>
      <c r="F35" s="462">
        <f t="shared" si="3"/>
        <v>504367753.60444444</v>
      </c>
    </row>
    <row r="36" spans="1:6" ht="15" thickBot="1" x14ac:dyDescent="0.35">
      <c r="A36" s="461">
        <v>25</v>
      </c>
      <c r="B36" s="461" t="s">
        <v>568</v>
      </c>
      <c r="C36" s="441" t="s">
        <v>812</v>
      </c>
      <c r="D36" s="462">
        <f>'Personnel Detail'!R36</f>
        <v>11529493.780000001</v>
      </c>
      <c r="E36" s="462">
        <v>15400000</v>
      </c>
      <c r="F36" s="462">
        <f t="shared" si="3"/>
        <v>26929493.780000001</v>
      </c>
    </row>
    <row r="37" spans="1:6" ht="15" thickBot="1" x14ac:dyDescent="0.35">
      <c r="A37" s="461">
        <v>26</v>
      </c>
      <c r="B37" s="461" t="s">
        <v>569</v>
      </c>
      <c r="C37" s="441" t="s">
        <v>813</v>
      </c>
      <c r="D37" s="462">
        <f>'Personnel Detail'!R35</f>
        <v>20451630.593333334</v>
      </c>
      <c r="E37" s="462">
        <v>54500000</v>
      </c>
      <c r="F37" s="462">
        <f t="shared" si="3"/>
        <v>74951630.593333334</v>
      </c>
    </row>
    <row r="38" spans="1:6" ht="15" thickBot="1" x14ac:dyDescent="0.35">
      <c r="A38" s="459"/>
      <c r="B38" s="459" t="s">
        <v>814</v>
      </c>
      <c r="C38" s="442" t="s">
        <v>815</v>
      </c>
      <c r="D38" s="521">
        <f t="shared" ref="D38:E38" si="5">SUM(D39:D44)</f>
        <v>498737336.43999994</v>
      </c>
      <c r="E38" s="521">
        <f t="shared" si="5"/>
        <v>3293300000</v>
      </c>
      <c r="F38" s="521">
        <f>SUM(F39:F44)</f>
        <v>3792037336.4400001</v>
      </c>
    </row>
    <row r="39" spans="1:6" ht="15" thickBot="1" x14ac:dyDescent="0.35">
      <c r="A39" s="461">
        <v>27</v>
      </c>
      <c r="B39" s="461" t="s">
        <v>84</v>
      </c>
      <c r="C39" s="441" t="s">
        <v>815</v>
      </c>
      <c r="D39" s="462">
        <f>'Personnel Detail'!R30</f>
        <v>462023877.82444441</v>
      </c>
      <c r="E39" s="462">
        <f>2273300000+'Details OH Cost'!F278</f>
        <v>2403300000</v>
      </c>
      <c r="F39" s="462">
        <f t="shared" si="3"/>
        <v>2865323877.8244443</v>
      </c>
    </row>
    <row r="40" spans="1:6" ht="15" thickBot="1" x14ac:dyDescent="0.35">
      <c r="A40" s="461">
        <v>28</v>
      </c>
      <c r="B40" s="461" t="s">
        <v>85</v>
      </c>
      <c r="C40" s="441" t="s">
        <v>816</v>
      </c>
      <c r="D40" s="462">
        <f>'Personnel Detail'!R31</f>
        <v>36713458.615555555</v>
      </c>
      <c r="E40" s="462">
        <v>100000000</v>
      </c>
      <c r="F40" s="462">
        <f t="shared" si="3"/>
        <v>136713458.61555555</v>
      </c>
    </row>
    <row r="41" spans="1:6" ht="15" thickBot="1" x14ac:dyDescent="0.35">
      <c r="A41" s="461">
        <v>29</v>
      </c>
      <c r="B41" s="461" t="s">
        <v>570</v>
      </c>
      <c r="C41" s="441" t="s">
        <v>817</v>
      </c>
      <c r="D41" s="516">
        <v>0</v>
      </c>
      <c r="E41" s="462">
        <v>600000000</v>
      </c>
      <c r="F41" s="462">
        <f t="shared" si="3"/>
        <v>600000000</v>
      </c>
    </row>
    <row r="42" spans="1:6" ht="15" thickBot="1" x14ac:dyDescent="0.35">
      <c r="A42" s="461">
        <v>30</v>
      </c>
      <c r="B42" s="461" t="s">
        <v>86</v>
      </c>
      <c r="C42" s="441" t="s">
        <v>818</v>
      </c>
      <c r="D42" s="516">
        <v>0</v>
      </c>
      <c r="E42" s="462">
        <v>10000000</v>
      </c>
      <c r="F42" s="462">
        <f t="shared" si="3"/>
        <v>10000000</v>
      </c>
    </row>
    <row r="43" spans="1:6" ht="15" thickBot="1" x14ac:dyDescent="0.35">
      <c r="A43" s="461">
        <v>31</v>
      </c>
      <c r="B43" s="461" t="s">
        <v>87</v>
      </c>
      <c r="C43" s="441" t="s">
        <v>819</v>
      </c>
      <c r="D43" s="516">
        <v>0</v>
      </c>
      <c r="E43" s="462">
        <v>100000000</v>
      </c>
      <c r="F43" s="462">
        <f t="shared" si="3"/>
        <v>100000000</v>
      </c>
    </row>
    <row r="44" spans="1:6" ht="15" thickBot="1" x14ac:dyDescent="0.35">
      <c r="A44" s="461">
        <v>32</v>
      </c>
      <c r="B44" s="461" t="s">
        <v>88</v>
      </c>
      <c r="C44" s="441" t="s">
        <v>820</v>
      </c>
      <c r="D44" s="516">
        <v>0</v>
      </c>
      <c r="E44" s="462">
        <v>80000000</v>
      </c>
      <c r="F44" s="462">
        <f t="shared" si="3"/>
        <v>80000000</v>
      </c>
    </row>
    <row r="45" spans="1:6" ht="15" thickBot="1" x14ac:dyDescent="0.35">
      <c r="A45" s="459"/>
      <c r="B45" s="459" t="s">
        <v>821</v>
      </c>
      <c r="C45" s="442" t="s">
        <v>822</v>
      </c>
      <c r="D45" s="521">
        <f t="shared" ref="D45:E45" si="6">SUM(D46:D50)</f>
        <v>529906042.54000002</v>
      </c>
      <c r="E45" s="521">
        <f t="shared" si="6"/>
        <v>940258000</v>
      </c>
      <c r="F45" s="521">
        <f>SUM(F46:F50)</f>
        <v>1470164042.54</v>
      </c>
    </row>
    <row r="46" spans="1:6" ht="15" thickBot="1" x14ac:dyDescent="0.35">
      <c r="A46" s="461">
        <v>33</v>
      </c>
      <c r="B46" s="461" t="s">
        <v>89</v>
      </c>
      <c r="C46" s="441" t="s">
        <v>822</v>
      </c>
      <c r="D46" s="462">
        <f>'Personnel Detail'!R33</f>
        <v>246104987.38000003</v>
      </c>
      <c r="E46" s="462">
        <v>524000000</v>
      </c>
      <c r="F46" s="462">
        <f t="shared" si="3"/>
        <v>770104987.38</v>
      </c>
    </row>
    <row r="47" spans="1:6" ht="15" thickBot="1" x14ac:dyDescent="0.35">
      <c r="A47" s="461">
        <v>34</v>
      </c>
      <c r="B47" s="461" t="s">
        <v>90</v>
      </c>
      <c r="C47" s="441" t="s">
        <v>823</v>
      </c>
      <c r="D47" s="462">
        <f>'Personnel Detail'!R53</f>
        <v>199795187.65111107</v>
      </c>
      <c r="E47" s="462">
        <v>151400000</v>
      </c>
      <c r="F47" s="462">
        <f t="shared" si="3"/>
        <v>351195187.65111107</v>
      </c>
    </row>
    <row r="48" spans="1:6" ht="15" thickBot="1" x14ac:dyDescent="0.35">
      <c r="A48" s="461">
        <v>35</v>
      </c>
      <c r="B48" s="461" t="s">
        <v>91</v>
      </c>
      <c r="C48" s="441" t="s">
        <v>297</v>
      </c>
      <c r="D48" s="462">
        <f>'Personnel Detail'!R55</f>
        <v>58829908.94666668</v>
      </c>
      <c r="E48" s="462">
        <f>46648000+'Details OH Cost'!F313</f>
        <v>68648000</v>
      </c>
      <c r="F48" s="462">
        <f t="shared" si="3"/>
        <v>127477908.94666669</v>
      </c>
    </row>
    <row r="49" spans="1:6" ht="15" thickBot="1" x14ac:dyDescent="0.35">
      <c r="A49" s="461">
        <v>36</v>
      </c>
      <c r="B49" s="461" t="s">
        <v>167</v>
      </c>
      <c r="C49" s="441" t="s">
        <v>571</v>
      </c>
      <c r="D49" s="516">
        <v>0</v>
      </c>
      <c r="E49" s="462">
        <f>122000000+'Social Contributions'!E13</f>
        <v>177035000</v>
      </c>
      <c r="F49" s="462">
        <f t="shared" si="3"/>
        <v>177035000</v>
      </c>
    </row>
    <row r="50" spans="1:6" ht="15" thickBot="1" x14ac:dyDescent="0.35">
      <c r="A50" s="461">
        <v>37</v>
      </c>
      <c r="B50" s="461" t="s">
        <v>92</v>
      </c>
      <c r="C50" s="441" t="s">
        <v>824</v>
      </c>
      <c r="D50" s="462">
        <f>'Personnel Detail'!R54</f>
        <v>25175958.562222227</v>
      </c>
      <c r="E50" s="462">
        <v>19175000</v>
      </c>
      <c r="F50" s="462">
        <f t="shared" si="3"/>
        <v>44350958.562222227</v>
      </c>
    </row>
    <row r="51" spans="1:6" ht="15" thickBot="1" x14ac:dyDescent="0.35">
      <c r="A51" s="459"/>
      <c r="B51" s="459" t="s">
        <v>825</v>
      </c>
      <c r="C51" s="442" t="s">
        <v>826</v>
      </c>
      <c r="D51" s="521">
        <f t="shared" ref="D51:E51" si="7">SUM(D52:D55)</f>
        <v>0</v>
      </c>
      <c r="E51" s="521">
        <f t="shared" si="7"/>
        <v>1009940000</v>
      </c>
      <c r="F51" s="521">
        <f>SUM(F52:F55)</f>
        <v>1009940000</v>
      </c>
    </row>
    <row r="52" spans="1:6" ht="15" thickBot="1" x14ac:dyDescent="0.35">
      <c r="A52" s="461">
        <v>38</v>
      </c>
      <c r="B52" s="461" t="s">
        <v>827</v>
      </c>
      <c r="C52" s="441" t="s">
        <v>828</v>
      </c>
      <c r="D52" s="516">
        <v>0</v>
      </c>
      <c r="E52" s="462">
        <v>2000000</v>
      </c>
      <c r="F52" s="462">
        <f t="shared" si="3"/>
        <v>2000000</v>
      </c>
    </row>
    <row r="53" spans="1:6" ht="15" thickBot="1" x14ac:dyDescent="0.35">
      <c r="A53" s="461">
        <v>39</v>
      </c>
      <c r="B53" s="461" t="s">
        <v>829</v>
      </c>
      <c r="C53" s="441" t="s">
        <v>830</v>
      </c>
      <c r="D53" s="516">
        <v>0</v>
      </c>
      <c r="E53" s="462">
        <v>3000000</v>
      </c>
      <c r="F53" s="462">
        <f t="shared" si="3"/>
        <v>3000000</v>
      </c>
    </row>
    <row r="54" spans="1:6" ht="15" thickBot="1" x14ac:dyDescent="0.35">
      <c r="A54" s="461">
        <v>40</v>
      </c>
      <c r="B54" s="461" t="s">
        <v>183</v>
      </c>
      <c r="C54" s="441" t="s">
        <v>831</v>
      </c>
      <c r="D54" s="516">
        <v>0</v>
      </c>
      <c r="E54" s="462">
        <f>700000000+'Details OH Cost'!F334</f>
        <v>1000000000</v>
      </c>
      <c r="F54" s="462">
        <f t="shared" si="3"/>
        <v>1000000000</v>
      </c>
    </row>
    <row r="55" spans="1:6" ht="15" thickBot="1" x14ac:dyDescent="0.35">
      <c r="A55" s="461">
        <v>41</v>
      </c>
      <c r="B55" s="461" t="s">
        <v>93</v>
      </c>
      <c r="C55" s="441" t="s">
        <v>832</v>
      </c>
      <c r="D55" s="516">
        <v>0</v>
      </c>
      <c r="E55" s="462">
        <v>4940000</v>
      </c>
      <c r="F55" s="462">
        <f t="shared" si="3"/>
        <v>4940000</v>
      </c>
    </row>
    <row r="56" spans="1:6" ht="15" thickBot="1" x14ac:dyDescent="0.35">
      <c r="A56" s="459"/>
      <c r="B56" s="459" t="s">
        <v>833</v>
      </c>
      <c r="C56" s="442" t="s">
        <v>834</v>
      </c>
      <c r="D56" s="521">
        <f t="shared" ref="D56:E56" si="8">SUM(D57:D66)</f>
        <v>191916259.51555556</v>
      </c>
      <c r="E56" s="521">
        <f t="shared" si="8"/>
        <v>393500000</v>
      </c>
      <c r="F56" s="521">
        <f>SUM(F57:F66)</f>
        <v>585416259.51555562</v>
      </c>
    </row>
    <row r="57" spans="1:6" ht="15" thickBot="1" x14ac:dyDescent="0.35">
      <c r="A57" s="461">
        <v>42</v>
      </c>
      <c r="B57" s="461" t="s">
        <v>94</v>
      </c>
      <c r="C57" s="441" t="s">
        <v>834</v>
      </c>
      <c r="D57" s="516">
        <v>0</v>
      </c>
      <c r="E57" s="462">
        <v>48000000</v>
      </c>
      <c r="F57" s="462">
        <f t="shared" si="3"/>
        <v>48000000</v>
      </c>
    </row>
    <row r="58" spans="1:6" ht="15" thickBot="1" x14ac:dyDescent="0.35">
      <c r="A58" s="461">
        <v>43</v>
      </c>
      <c r="B58" s="461" t="s">
        <v>835</v>
      </c>
      <c r="C58" s="441" t="s">
        <v>836</v>
      </c>
      <c r="D58" s="516">
        <v>0</v>
      </c>
      <c r="E58" s="462">
        <v>2500000</v>
      </c>
      <c r="F58" s="462">
        <f t="shared" si="3"/>
        <v>2500000</v>
      </c>
    </row>
    <row r="59" spans="1:6" x14ac:dyDescent="0.3">
      <c r="A59" s="467">
        <v>44</v>
      </c>
      <c r="B59" s="467" t="s">
        <v>95</v>
      </c>
      <c r="C59" s="468" t="s">
        <v>837</v>
      </c>
      <c r="D59" s="522">
        <v>0</v>
      </c>
      <c r="E59" s="523">
        <v>2600000</v>
      </c>
      <c r="F59" s="523">
        <f t="shared" si="3"/>
        <v>2600000</v>
      </c>
    </row>
    <row r="60" spans="1:6" x14ac:dyDescent="0.3">
      <c r="A60" s="473">
        <v>45</v>
      </c>
      <c r="B60" s="473" t="s">
        <v>96</v>
      </c>
      <c r="C60" s="473" t="s">
        <v>838</v>
      </c>
      <c r="D60" s="524">
        <v>0</v>
      </c>
      <c r="E60" s="525">
        <f>32000000+'Details OH Cost'!F380</f>
        <v>36500000</v>
      </c>
      <c r="F60" s="525">
        <f t="shared" si="3"/>
        <v>36500000</v>
      </c>
    </row>
    <row r="61" spans="1:6" x14ac:dyDescent="0.3">
      <c r="A61" s="469"/>
      <c r="B61" s="469"/>
      <c r="C61" s="472" t="s">
        <v>1016</v>
      </c>
      <c r="D61" s="519"/>
      <c r="E61" s="520"/>
      <c r="F61" s="520"/>
    </row>
    <row r="62" spans="1:6" ht="15" thickBot="1" x14ac:dyDescent="0.35">
      <c r="A62" s="461">
        <v>46</v>
      </c>
      <c r="B62" s="461" t="s">
        <v>97</v>
      </c>
      <c r="C62" s="441" t="s">
        <v>839</v>
      </c>
      <c r="D62" s="462">
        <f>'Personnel Detail'!R23</f>
        <v>128914359.87111111</v>
      </c>
      <c r="E62" s="462">
        <v>145000000</v>
      </c>
      <c r="F62" s="462">
        <f t="shared" si="3"/>
        <v>273914359.87111109</v>
      </c>
    </row>
    <row r="63" spans="1:6" ht="15" thickBot="1" x14ac:dyDescent="0.35">
      <c r="A63" s="461">
        <v>47</v>
      </c>
      <c r="B63" s="461" t="s">
        <v>98</v>
      </c>
      <c r="C63" s="441" t="s">
        <v>840</v>
      </c>
      <c r="D63" s="516">
        <v>0</v>
      </c>
      <c r="E63" s="462">
        <v>4000000</v>
      </c>
      <c r="F63" s="462">
        <f t="shared" si="3"/>
        <v>4000000</v>
      </c>
    </row>
    <row r="64" spans="1:6" ht="15" thickBot="1" x14ac:dyDescent="0.35">
      <c r="A64" s="461">
        <v>48</v>
      </c>
      <c r="B64" s="461" t="s">
        <v>99</v>
      </c>
      <c r="C64" s="441" t="s">
        <v>841</v>
      </c>
      <c r="D64" s="516">
        <v>0</v>
      </c>
      <c r="E64" s="462">
        <v>16000000</v>
      </c>
      <c r="F64" s="462">
        <f t="shared" si="3"/>
        <v>16000000</v>
      </c>
    </row>
    <row r="65" spans="1:6" ht="15" thickBot="1" x14ac:dyDescent="0.35">
      <c r="A65" s="461">
        <v>49</v>
      </c>
      <c r="B65" s="461" t="s">
        <v>212</v>
      </c>
      <c r="C65" s="441" t="s">
        <v>842</v>
      </c>
      <c r="D65" s="462">
        <f>'Personnel Detail'!R79</f>
        <v>18666666.666666664</v>
      </c>
      <c r="E65" s="462">
        <v>18000000</v>
      </c>
      <c r="F65" s="462">
        <f t="shared" si="3"/>
        <v>36666666.666666664</v>
      </c>
    </row>
    <row r="66" spans="1:6" ht="15" thickBot="1" x14ac:dyDescent="0.35">
      <c r="A66" s="461">
        <v>50</v>
      </c>
      <c r="B66" s="461" t="s">
        <v>100</v>
      </c>
      <c r="C66" s="441" t="s">
        <v>715</v>
      </c>
      <c r="D66" s="462">
        <f>'Personnel Detail'!R65</f>
        <v>44335232.977777772</v>
      </c>
      <c r="E66" s="462">
        <f>110400000+'Details OH Cost'!F416</f>
        <v>120900000</v>
      </c>
      <c r="F66" s="462">
        <f t="shared" si="3"/>
        <v>165235232.97777778</v>
      </c>
    </row>
    <row r="67" spans="1:6" ht="15" thickBot="1" x14ac:dyDescent="0.35">
      <c r="A67" s="459"/>
      <c r="B67" s="459" t="s">
        <v>843</v>
      </c>
      <c r="C67" s="442" t="s">
        <v>844</v>
      </c>
      <c r="D67" s="521">
        <f t="shared" ref="D67:E67" si="9">SUM(D68:D69)</f>
        <v>348032168.29111111</v>
      </c>
      <c r="E67" s="521">
        <f t="shared" si="9"/>
        <v>156000000</v>
      </c>
      <c r="F67" s="521">
        <f>SUM(F68:F69)</f>
        <v>504032168.29111111</v>
      </c>
    </row>
    <row r="68" spans="1:6" ht="15" thickBot="1" x14ac:dyDescent="0.35">
      <c r="A68" s="461">
        <v>51</v>
      </c>
      <c r="B68" s="461" t="s">
        <v>101</v>
      </c>
      <c r="C68" s="441" t="s">
        <v>845</v>
      </c>
      <c r="D68" s="462">
        <f>'Personnel Detail'!R62</f>
        <v>260313538.64444444</v>
      </c>
      <c r="E68" s="462">
        <v>109000000</v>
      </c>
      <c r="F68" s="462">
        <f t="shared" si="3"/>
        <v>369313538.64444447</v>
      </c>
    </row>
    <row r="69" spans="1:6" ht="15" thickBot="1" x14ac:dyDescent="0.35">
      <c r="A69" s="461">
        <v>52</v>
      </c>
      <c r="B69" s="461" t="s">
        <v>54</v>
      </c>
      <c r="C69" s="441" t="s">
        <v>846</v>
      </c>
      <c r="D69" s="462">
        <f>'Personnel Detail'!R40</f>
        <v>87718629.646666676</v>
      </c>
      <c r="E69" s="462">
        <f>37000000+'Details OH Cost'!F442</f>
        <v>47000000</v>
      </c>
      <c r="F69" s="462">
        <f t="shared" si="3"/>
        <v>134718629.64666668</v>
      </c>
    </row>
    <row r="70" spans="1:6" ht="15" thickBot="1" x14ac:dyDescent="0.35">
      <c r="A70" s="459"/>
      <c r="B70" s="459" t="s">
        <v>847</v>
      </c>
      <c r="C70" s="442" t="s">
        <v>848</v>
      </c>
      <c r="D70" s="521">
        <f>SUM(D71:D71)</f>
        <v>118555471.44000001</v>
      </c>
      <c r="E70" s="521">
        <f t="shared" ref="E70" si="10">SUM(E71:E71)</f>
        <v>43000000</v>
      </c>
      <c r="F70" s="521">
        <f>SUM(F71:F71)</f>
        <v>161555471.44</v>
      </c>
    </row>
    <row r="71" spans="1:6" ht="15" thickBot="1" x14ac:dyDescent="0.35">
      <c r="A71" s="461">
        <v>53</v>
      </c>
      <c r="B71" s="461" t="s">
        <v>102</v>
      </c>
      <c r="C71" s="441" t="s">
        <v>848</v>
      </c>
      <c r="D71" s="462">
        <f>'Personnel Detail'!R13</f>
        <v>118555471.44000001</v>
      </c>
      <c r="E71" s="462">
        <v>43000000</v>
      </c>
      <c r="F71" s="462">
        <f t="shared" si="3"/>
        <v>161555471.44</v>
      </c>
    </row>
    <row r="72" spans="1:6" ht="15" thickBot="1" x14ac:dyDescent="0.35">
      <c r="A72" s="459"/>
      <c r="B72" s="459" t="s">
        <v>849</v>
      </c>
      <c r="C72" s="442" t="s">
        <v>850</v>
      </c>
      <c r="D72" s="521">
        <f t="shared" ref="D72:E72" si="11">SUM(D73:D74)</f>
        <v>76313566.917777762</v>
      </c>
      <c r="E72" s="521">
        <f t="shared" si="11"/>
        <v>31971000</v>
      </c>
      <c r="F72" s="521">
        <f>SUM(F73:F74)</f>
        <v>108284566.91777776</v>
      </c>
    </row>
    <row r="73" spans="1:6" ht="15" thickBot="1" x14ac:dyDescent="0.35">
      <c r="A73" s="461">
        <v>54</v>
      </c>
      <c r="B73" s="461" t="s">
        <v>103</v>
      </c>
      <c r="C73" s="441" t="s">
        <v>850</v>
      </c>
      <c r="D73" s="462">
        <f>'Personnel Detail'!R20</f>
        <v>76313566.917777762</v>
      </c>
      <c r="E73" s="462">
        <v>27525000</v>
      </c>
      <c r="F73" s="462">
        <f t="shared" si="3"/>
        <v>103838566.91777776</v>
      </c>
    </row>
    <row r="74" spans="1:6" ht="15" thickBot="1" x14ac:dyDescent="0.35">
      <c r="A74" s="461">
        <v>55</v>
      </c>
      <c r="B74" s="461" t="s">
        <v>104</v>
      </c>
      <c r="C74" s="441" t="s">
        <v>851</v>
      </c>
      <c r="D74" s="516">
        <v>0</v>
      </c>
      <c r="E74" s="462">
        <v>4446000</v>
      </c>
      <c r="F74" s="462">
        <f t="shared" si="3"/>
        <v>4446000</v>
      </c>
    </row>
    <row r="75" spans="1:6" ht="15" thickBot="1" x14ac:dyDescent="0.35">
      <c r="A75" s="459"/>
      <c r="B75" s="459" t="s">
        <v>852</v>
      </c>
      <c r="C75" s="442" t="s">
        <v>853</v>
      </c>
      <c r="D75" s="521">
        <f t="shared" ref="D75:E75" si="12">SUM(D76:D76)</f>
        <v>0</v>
      </c>
      <c r="E75" s="521">
        <f t="shared" si="12"/>
        <v>3500000</v>
      </c>
      <c r="F75" s="521">
        <f>SUM(F76:F76)</f>
        <v>3500000</v>
      </c>
    </row>
    <row r="76" spans="1:6" ht="15" thickBot="1" x14ac:dyDescent="0.35">
      <c r="A76" s="461">
        <v>56</v>
      </c>
      <c r="B76" s="461" t="s">
        <v>200</v>
      </c>
      <c r="C76" s="441" t="s">
        <v>853</v>
      </c>
      <c r="D76" s="516">
        <v>0</v>
      </c>
      <c r="E76" s="462">
        <v>3500000</v>
      </c>
      <c r="F76" s="462">
        <f t="shared" si="3"/>
        <v>3500000</v>
      </c>
    </row>
    <row r="77" spans="1:6" ht="15" thickBot="1" x14ac:dyDescent="0.35">
      <c r="A77" s="456"/>
      <c r="B77" s="456" t="s">
        <v>854</v>
      </c>
      <c r="C77" s="457" t="s">
        <v>855</v>
      </c>
      <c r="D77" s="526">
        <f>D78+D89+D101+D107+D110+D113+D117+D122+D127+D129+D138+D142+D144+D146+D149</f>
        <v>19562930654.256668</v>
      </c>
      <c r="E77" s="526">
        <f t="shared" ref="E77" si="13">E78+E89+E101+E107+E110+E113+E117+E122+E127+E129+E138+E142+E144+E146+E149</f>
        <v>30010807000</v>
      </c>
      <c r="F77" s="526">
        <f>F78+F89+F101+F107+F110+F113+F117+F122+F127+F129+F138+F142+F144+F146+F149</f>
        <v>49573737654.256676</v>
      </c>
    </row>
    <row r="78" spans="1:6" ht="15" thickBot="1" x14ac:dyDescent="0.35">
      <c r="A78" s="459"/>
      <c r="B78" s="459" t="s">
        <v>856</v>
      </c>
      <c r="C78" s="442" t="s">
        <v>857</v>
      </c>
      <c r="D78" s="521">
        <f>SUM(D79:D88)</f>
        <v>787207824.27777791</v>
      </c>
      <c r="E78" s="521">
        <f>SUM(E79:E88)</f>
        <v>124396000</v>
      </c>
      <c r="F78" s="521">
        <f>SUM(F79:F88)</f>
        <v>911603824.27777791</v>
      </c>
    </row>
    <row r="79" spans="1:6" ht="15" thickBot="1" x14ac:dyDescent="0.35">
      <c r="A79" s="461">
        <v>57</v>
      </c>
      <c r="B79" s="461" t="s">
        <v>57</v>
      </c>
      <c r="C79" s="441" t="s">
        <v>857</v>
      </c>
      <c r="D79" s="462">
        <f>'Personnel Detail'!R7</f>
        <v>484646757.17111123</v>
      </c>
      <c r="E79" s="462">
        <v>72050000</v>
      </c>
      <c r="F79" s="462">
        <f t="shared" ref="F79:F147" si="14">D79+E79</f>
        <v>556696757.17111123</v>
      </c>
    </row>
    <row r="80" spans="1:6" ht="15" thickBot="1" x14ac:dyDescent="0.35">
      <c r="A80" s="461">
        <v>58</v>
      </c>
      <c r="B80" s="461" t="s">
        <v>191</v>
      </c>
      <c r="C80" s="441" t="s">
        <v>988</v>
      </c>
      <c r="D80" s="516">
        <v>0</v>
      </c>
      <c r="E80" s="462">
        <v>2375000</v>
      </c>
      <c r="F80" s="462">
        <f t="shared" si="14"/>
        <v>2375000</v>
      </c>
    </row>
    <row r="81" spans="1:6" ht="15" thickBot="1" x14ac:dyDescent="0.35">
      <c r="A81" s="461">
        <v>59</v>
      </c>
      <c r="B81" s="461" t="s">
        <v>572</v>
      </c>
      <c r="C81" s="441" t="s">
        <v>858</v>
      </c>
      <c r="D81" s="516">
        <v>0</v>
      </c>
      <c r="E81" s="462">
        <v>5000000</v>
      </c>
      <c r="F81" s="462">
        <f t="shared" si="14"/>
        <v>5000000</v>
      </c>
    </row>
    <row r="82" spans="1:6" ht="15" thickBot="1" x14ac:dyDescent="0.35">
      <c r="A82" s="461">
        <v>60</v>
      </c>
      <c r="B82" s="461" t="s">
        <v>105</v>
      </c>
      <c r="C82" s="441" t="s">
        <v>859</v>
      </c>
      <c r="D82" s="516">
        <v>0</v>
      </c>
      <c r="E82" s="462">
        <v>950000</v>
      </c>
      <c r="F82" s="462">
        <f t="shared" si="14"/>
        <v>950000</v>
      </c>
    </row>
    <row r="83" spans="1:6" ht="15" thickBot="1" x14ac:dyDescent="0.35">
      <c r="A83" s="461">
        <v>61</v>
      </c>
      <c r="B83" s="461" t="s">
        <v>106</v>
      </c>
      <c r="C83" s="441" t="s">
        <v>860</v>
      </c>
      <c r="D83" s="462">
        <f>'Personnel Detail'!R9</f>
        <v>234352565.67333335</v>
      </c>
      <c r="E83" s="462">
        <v>8631000</v>
      </c>
      <c r="F83" s="462">
        <f t="shared" si="14"/>
        <v>242983565.67333335</v>
      </c>
    </row>
    <row r="84" spans="1:6" ht="15" thickBot="1" x14ac:dyDescent="0.35">
      <c r="A84" s="461">
        <v>62</v>
      </c>
      <c r="B84" s="461" t="s">
        <v>107</v>
      </c>
      <c r="C84" s="441" t="s">
        <v>861</v>
      </c>
      <c r="D84" s="516">
        <v>0</v>
      </c>
      <c r="E84" s="462">
        <v>8550000</v>
      </c>
      <c r="F84" s="462">
        <f t="shared" si="14"/>
        <v>8550000</v>
      </c>
    </row>
    <row r="85" spans="1:6" ht="15" thickBot="1" x14ac:dyDescent="0.35">
      <c r="A85" s="461">
        <v>63</v>
      </c>
      <c r="B85" s="461" t="s">
        <v>60</v>
      </c>
      <c r="C85" s="441" t="s">
        <v>862</v>
      </c>
      <c r="D85" s="462">
        <f>'Personnel Detail'!R8</f>
        <v>68208501.433333337</v>
      </c>
      <c r="E85" s="462">
        <f>4800000+'Details OH Cost'!F508</f>
        <v>8700000</v>
      </c>
      <c r="F85" s="462">
        <f t="shared" si="14"/>
        <v>76908501.433333337</v>
      </c>
    </row>
    <row r="86" spans="1:6" ht="15" thickBot="1" x14ac:dyDescent="0.35">
      <c r="A86" s="461">
        <v>64</v>
      </c>
      <c r="B86" s="461" t="s">
        <v>108</v>
      </c>
      <c r="C86" s="441" t="s">
        <v>863</v>
      </c>
      <c r="D86" s="516">
        <v>0</v>
      </c>
      <c r="E86" s="462">
        <v>6000000</v>
      </c>
      <c r="F86" s="462">
        <f t="shared" si="14"/>
        <v>6000000</v>
      </c>
    </row>
    <row r="87" spans="1:6" ht="15" thickBot="1" x14ac:dyDescent="0.35">
      <c r="A87" s="461">
        <v>65</v>
      </c>
      <c r="B87" s="461" t="s">
        <v>58</v>
      </c>
      <c r="C87" s="441" t="s">
        <v>864</v>
      </c>
      <c r="D87" s="516">
        <v>0</v>
      </c>
      <c r="E87" s="462">
        <v>4940000</v>
      </c>
      <c r="F87" s="462">
        <f t="shared" si="14"/>
        <v>4940000</v>
      </c>
    </row>
    <row r="88" spans="1:6" ht="15" thickBot="1" x14ac:dyDescent="0.35">
      <c r="A88" s="461">
        <v>66</v>
      </c>
      <c r="B88" s="461" t="s">
        <v>189</v>
      </c>
      <c r="C88" s="441" t="s">
        <v>742</v>
      </c>
      <c r="D88" s="516">
        <v>0</v>
      </c>
      <c r="E88" s="462">
        <v>7200000</v>
      </c>
      <c r="F88" s="462">
        <f t="shared" si="14"/>
        <v>7200000</v>
      </c>
    </row>
    <row r="89" spans="1:6" ht="15" thickBot="1" x14ac:dyDescent="0.35">
      <c r="A89" s="459"/>
      <c r="B89" s="459" t="s">
        <v>865</v>
      </c>
      <c r="C89" s="442" t="s">
        <v>63</v>
      </c>
      <c r="D89" s="521">
        <f>SUM(D90:D100)</f>
        <v>15469729051.572222</v>
      </c>
      <c r="E89" s="521">
        <f>SUM(E90:E100)</f>
        <v>27763635000</v>
      </c>
      <c r="F89" s="521">
        <f>SUM(F90:F100)</f>
        <v>43233364051.572227</v>
      </c>
    </row>
    <row r="90" spans="1:6" ht="15" thickBot="1" x14ac:dyDescent="0.35">
      <c r="A90" s="470">
        <v>67</v>
      </c>
      <c r="B90" s="470" t="s">
        <v>109</v>
      </c>
      <c r="C90" s="471" t="s">
        <v>63</v>
      </c>
      <c r="D90" s="518">
        <f>11665143548.94-'Pooled Fund Personnel'!E10+'Social Contributions'!E18+245037258.14</f>
        <v>14334300807.08</v>
      </c>
      <c r="E90" s="518">
        <f>6074000000-'Pooled Fund OH Cost'!H35+'Details OH Cost'!F557</f>
        <v>7438000000</v>
      </c>
      <c r="F90" s="518">
        <f t="shared" si="14"/>
        <v>21772300807.080002</v>
      </c>
    </row>
    <row r="91" spans="1:6" x14ac:dyDescent="0.3">
      <c r="A91" s="469"/>
      <c r="B91" s="469"/>
      <c r="C91" s="472" t="s">
        <v>1017</v>
      </c>
      <c r="D91" s="520"/>
      <c r="E91" s="520"/>
      <c r="F91" s="520"/>
    </row>
    <row r="92" spans="1:6" ht="15" thickBot="1" x14ac:dyDescent="0.35">
      <c r="A92" s="461">
        <v>68</v>
      </c>
      <c r="B92" s="461" t="s">
        <v>110</v>
      </c>
      <c r="C92" s="441" t="s">
        <v>866</v>
      </c>
      <c r="D92" s="516">
        <v>0</v>
      </c>
      <c r="E92" s="462">
        <v>30000000</v>
      </c>
      <c r="F92" s="462">
        <f t="shared" si="14"/>
        <v>30000000</v>
      </c>
    </row>
    <row r="93" spans="1:6" ht="15" thickBot="1" x14ac:dyDescent="0.35">
      <c r="A93" s="461">
        <v>69</v>
      </c>
      <c r="B93" s="461" t="s">
        <v>111</v>
      </c>
      <c r="C93" s="441" t="s">
        <v>867</v>
      </c>
      <c r="D93" s="516">
        <v>0</v>
      </c>
      <c r="E93" s="462">
        <v>18000000</v>
      </c>
      <c r="F93" s="462">
        <f t="shared" si="14"/>
        <v>18000000</v>
      </c>
    </row>
    <row r="94" spans="1:6" ht="15" thickBot="1" x14ac:dyDescent="0.35">
      <c r="A94" s="461">
        <v>70</v>
      </c>
      <c r="B94" s="461" t="s">
        <v>192</v>
      </c>
      <c r="C94" s="441" t="s">
        <v>868</v>
      </c>
      <c r="D94" s="516">
        <v>0</v>
      </c>
      <c r="E94" s="462">
        <v>12000000</v>
      </c>
      <c r="F94" s="462">
        <f t="shared" si="14"/>
        <v>12000000</v>
      </c>
    </row>
    <row r="95" spans="1:6" ht="15" thickBot="1" x14ac:dyDescent="0.35">
      <c r="A95" s="461">
        <v>71</v>
      </c>
      <c r="B95" s="552" t="s">
        <v>573</v>
      </c>
      <c r="C95" s="553" t="s">
        <v>869</v>
      </c>
      <c r="D95" s="516">
        <f>'Personnel Detail'!R82</f>
        <v>915342668.78999996</v>
      </c>
      <c r="E95" s="516">
        <v>0</v>
      </c>
      <c r="F95" s="516">
        <f t="shared" si="14"/>
        <v>915342668.78999996</v>
      </c>
    </row>
    <row r="96" spans="1:6" ht="15" thickBot="1" x14ac:dyDescent="0.35">
      <c r="A96" s="461">
        <v>72</v>
      </c>
      <c r="B96" s="461" t="s">
        <v>112</v>
      </c>
      <c r="C96" s="441" t="s">
        <v>542</v>
      </c>
      <c r="D96" s="516">
        <v>0</v>
      </c>
      <c r="E96" s="462">
        <f>13960685000+'Details OH Cost'!F610</f>
        <v>13980685000</v>
      </c>
      <c r="F96" s="462">
        <f t="shared" si="14"/>
        <v>13980685000</v>
      </c>
    </row>
    <row r="97" spans="1:6" ht="15" thickBot="1" x14ac:dyDescent="0.35">
      <c r="A97" s="461">
        <v>73</v>
      </c>
      <c r="B97" s="461" t="s">
        <v>113</v>
      </c>
      <c r="C97" s="441" t="s">
        <v>574</v>
      </c>
      <c r="D97" s="462">
        <f>'Personnel Detail'!R43</f>
        <v>220085575.70222217</v>
      </c>
      <c r="E97" s="462">
        <f>640900000+'Details OH Cost'!F645</f>
        <v>727900000</v>
      </c>
      <c r="F97" s="462">
        <f t="shared" si="14"/>
        <v>947985575.70222211</v>
      </c>
    </row>
    <row r="98" spans="1:6" ht="15" thickBot="1" x14ac:dyDescent="0.35">
      <c r="A98" s="461">
        <v>74</v>
      </c>
      <c r="B98" s="461" t="s">
        <v>193</v>
      </c>
      <c r="C98" s="441" t="s">
        <v>870</v>
      </c>
      <c r="D98" s="516">
        <v>0</v>
      </c>
      <c r="E98" s="462">
        <v>37050000</v>
      </c>
      <c r="F98" s="462">
        <f t="shared" si="14"/>
        <v>37050000</v>
      </c>
    </row>
    <row r="99" spans="1:6" ht="15" thickBot="1" x14ac:dyDescent="0.35">
      <c r="A99" s="461">
        <v>75</v>
      </c>
      <c r="B99" s="461" t="s">
        <v>871</v>
      </c>
      <c r="C99" s="441" t="s">
        <v>872</v>
      </c>
      <c r="D99" s="516">
        <v>0</v>
      </c>
      <c r="E99" s="462">
        <v>5500000000</v>
      </c>
      <c r="F99" s="462">
        <f t="shared" si="14"/>
        <v>5500000000</v>
      </c>
    </row>
    <row r="100" spans="1:6" ht="15" thickBot="1" x14ac:dyDescent="0.35">
      <c r="A100" s="461">
        <v>76</v>
      </c>
      <c r="B100" s="461" t="s">
        <v>190</v>
      </c>
      <c r="C100" s="441" t="s">
        <v>873</v>
      </c>
      <c r="D100" s="516">
        <v>0</v>
      </c>
      <c r="E100" s="462">
        <v>20000000</v>
      </c>
      <c r="F100" s="462">
        <f t="shared" si="14"/>
        <v>20000000</v>
      </c>
    </row>
    <row r="101" spans="1:6" ht="15" thickBot="1" x14ac:dyDescent="0.35">
      <c r="A101" s="459"/>
      <c r="B101" s="459" t="s">
        <v>874</v>
      </c>
      <c r="C101" s="442" t="s">
        <v>575</v>
      </c>
      <c r="D101" s="521">
        <f>SUM(D102:D106)</f>
        <v>315025357.85777783</v>
      </c>
      <c r="E101" s="521">
        <f>SUM(E102:E106)</f>
        <v>342463000</v>
      </c>
      <c r="F101" s="521">
        <f>SUM(F102:F106)</f>
        <v>657488357.85777783</v>
      </c>
    </row>
    <row r="102" spans="1:6" ht="15" thickBot="1" x14ac:dyDescent="0.35">
      <c r="A102" s="461">
        <v>77</v>
      </c>
      <c r="B102" s="461" t="s">
        <v>114</v>
      </c>
      <c r="C102" s="441" t="s">
        <v>575</v>
      </c>
      <c r="D102" s="462">
        <f>'Personnel Detail'!R14</f>
        <v>258506786.53333336</v>
      </c>
      <c r="E102" s="462">
        <f>38525000+'Details OH Cost'!F669</f>
        <v>44525000</v>
      </c>
      <c r="F102" s="462">
        <f t="shared" si="14"/>
        <v>303031786.53333336</v>
      </c>
    </row>
    <row r="103" spans="1:6" ht="15" thickBot="1" x14ac:dyDescent="0.35">
      <c r="A103" s="461">
        <v>78</v>
      </c>
      <c r="B103" s="461" t="s">
        <v>115</v>
      </c>
      <c r="C103" s="441" t="s">
        <v>875</v>
      </c>
      <c r="D103" s="516">
        <v>0</v>
      </c>
      <c r="E103" s="462">
        <v>8500000</v>
      </c>
      <c r="F103" s="462">
        <f t="shared" si="14"/>
        <v>8500000</v>
      </c>
    </row>
    <row r="104" spans="1:6" ht="15" thickBot="1" x14ac:dyDescent="0.35">
      <c r="A104" s="461">
        <v>79</v>
      </c>
      <c r="B104" s="461" t="s">
        <v>116</v>
      </c>
      <c r="C104" s="441" t="s">
        <v>576</v>
      </c>
      <c r="D104" s="462">
        <f>'Personnel Detail'!R41</f>
        <v>56518571.324444443</v>
      </c>
      <c r="E104" s="462">
        <f>65438000+'Details OH Cost'!F700</f>
        <v>81438000</v>
      </c>
      <c r="F104" s="462">
        <f t="shared" si="14"/>
        <v>137956571.32444444</v>
      </c>
    </row>
    <row r="105" spans="1:6" ht="15" thickBot="1" x14ac:dyDescent="0.35">
      <c r="A105" s="461">
        <v>80</v>
      </c>
      <c r="B105" s="461" t="s">
        <v>194</v>
      </c>
      <c r="C105" s="441" t="s">
        <v>876</v>
      </c>
      <c r="D105" s="516">
        <v>0</v>
      </c>
      <c r="E105" s="462">
        <v>30000000</v>
      </c>
      <c r="F105" s="462">
        <f t="shared" si="14"/>
        <v>30000000</v>
      </c>
    </row>
    <row r="106" spans="1:6" ht="15" thickBot="1" x14ac:dyDescent="0.35">
      <c r="A106" s="461">
        <v>81</v>
      </c>
      <c r="B106" s="461" t="s">
        <v>186</v>
      </c>
      <c r="C106" s="441" t="s">
        <v>877</v>
      </c>
      <c r="D106" s="516">
        <v>0</v>
      </c>
      <c r="E106" s="462">
        <v>178000000</v>
      </c>
      <c r="F106" s="462">
        <f t="shared" si="14"/>
        <v>178000000</v>
      </c>
    </row>
    <row r="107" spans="1:6" ht="15" thickBot="1" x14ac:dyDescent="0.35">
      <c r="A107" s="459"/>
      <c r="B107" s="459" t="s">
        <v>878</v>
      </c>
      <c r="C107" s="442" t="s">
        <v>303</v>
      </c>
      <c r="D107" s="521">
        <f>SUM(D108:D109)</f>
        <v>105790962.79111111</v>
      </c>
      <c r="E107" s="521">
        <f>SUM(E108:E109)</f>
        <v>59530000</v>
      </c>
      <c r="F107" s="521">
        <f>SUM(F108:F109)</f>
        <v>165320962.79111111</v>
      </c>
    </row>
    <row r="108" spans="1:6" ht="15" thickBot="1" x14ac:dyDescent="0.35">
      <c r="A108" s="461">
        <v>82</v>
      </c>
      <c r="B108" s="461" t="s">
        <v>117</v>
      </c>
      <c r="C108" s="441" t="s">
        <v>303</v>
      </c>
      <c r="D108" s="462">
        <f>'Personnel Detail'!R63</f>
        <v>105790962.79111111</v>
      </c>
      <c r="E108" s="462">
        <f>69400000-'Pooled Fund OH Cost'!H19+'Details OH Cost'!F746</f>
        <v>54400000</v>
      </c>
      <c r="F108" s="462">
        <f t="shared" si="14"/>
        <v>160190962.79111111</v>
      </c>
    </row>
    <row r="109" spans="1:6" ht="15" thickBot="1" x14ac:dyDescent="0.35">
      <c r="A109" s="461">
        <v>83</v>
      </c>
      <c r="B109" s="461" t="s">
        <v>118</v>
      </c>
      <c r="C109" s="441" t="s">
        <v>879</v>
      </c>
      <c r="D109" s="516">
        <v>0</v>
      </c>
      <c r="E109" s="462">
        <v>5130000</v>
      </c>
      <c r="F109" s="462">
        <f t="shared" si="14"/>
        <v>5130000</v>
      </c>
    </row>
    <row r="110" spans="1:6" ht="15" thickBot="1" x14ac:dyDescent="0.35">
      <c r="A110" s="459"/>
      <c r="B110" s="459" t="s">
        <v>880</v>
      </c>
      <c r="C110" s="442" t="s">
        <v>881</v>
      </c>
      <c r="D110" s="521">
        <f>SUM(D111:D112)</f>
        <v>224822659.42888886</v>
      </c>
      <c r="E110" s="521">
        <f>SUM(E111:E112)</f>
        <v>135100000</v>
      </c>
      <c r="F110" s="521">
        <f>SUM(F111:F112)</f>
        <v>359922659.42888886</v>
      </c>
    </row>
    <row r="111" spans="1:6" ht="15" thickBot="1" x14ac:dyDescent="0.35">
      <c r="A111" s="461">
        <v>84</v>
      </c>
      <c r="B111" s="461" t="s">
        <v>119</v>
      </c>
      <c r="C111" s="441" t="s">
        <v>881</v>
      </c>
      <c r="D111" s="462">
        <f>'Personnel Detail'!R69</f>
        <v>224822659.42888886</v>
      </c>
      <c r="E111" s="462">
        <f>167100000-'Pooled Fund OH Cost'!H16</f>
        <v>127100000</v>
      </c>
      <c r="F111" s="462">
        <f t="shared" si="14"/>
        <v>351922659.42888886</v>
      </c>
    </row>
    <row r="112" spans="1:6" ht="15" thickBot="1" x14ac:dyDescent="0.35">
      <c r="A112" s="461">
        <v>85</v>
      </c>
      <c r="B112" s="461" t="s">
        <v>120</v>
      </c>
      <c r="C112" s="441" t="s">
        <v>989</v>
      </c>
      <c r="D112" s="516">
        <v>0</v>
      </c>
      <c r="E112" s="462">
        <v>8000000</v>
      </c>
      <c r="F112" s="462">
        <f t="shared" si="14"/>
        <v>8000000</v>
      </c>
    </row>
    <row r="113" spans="1:6" ht="15" thickBot="1" x14ac:dyDescent="0.35">
      <c r="A113" s="459"/>
      <c r="B113" s="459" t="s">
        <v>882</v>
      </c>
      <c r="C113" s="442" t="s">
        <v>883</v>
      </c>
      <c r="D113" s="521">
        <f t="shared" ref="D113:E113" si="15">SUM(D114:D116)</f>
        <v>180632955.00444451</v>
      </c>
      <c r="E113" s="521">
        <f t="shared" si="15"/>
        <v>409000000</v>
      </c>
      <c r="F113" s="521">
        <f>SUM(F114:F116)</f>
        <v>589632955.00444448</v>
      </c>
    </row>
    <row r="114" spans="1:6" ht="15" thickBot="1" x14ac:dyDescent="0.35">
      <c r="A114" s="461">
        <v>86</v>
      </c>
      <c r="B114" s="461" t="s">
        <v>433</v>
      </c>
      <c r="C114" s="441" t="s">
        <v>883</v>
      </c>
      <c r="D114" s="516">
        <v>0</v>
      </c>
      <c r="E114" s="462">
        <v>24000000</v>
      </c>
      <c r="F114" s="462">
        <f t="shared" si="14"/>
        <v>24000000</v>
      </c>
    </row>
    <row r="115" spans="1:6" ht="15" thickBot="1" x14ac:dyDescent="0.35">
      <c r="A115" s="461">
        <v>87</v>
      </c>
      <c r="B115" s="461" t="s">
        <v>121</v>
      </c>
      <c r="C115" s="441" t="s">
        <v>577</v>
      </c>
      <c r="D115" s="462">
        <f>'Personnel Detail'!R49</f>
        <v>180632955.00444451</v>
      </c>
      <c r="E115" s="462">
        <f>370000000-'Pooled Fund OH Cost'!H31+'Details OH Cost'!F804</f>
        <v>370000000</v>
      </c>
      <c r="F115" s="462">
        <f t="shared" si="14"/>
        <v>550632955.00444448</v>
      </c>
    </row>
    <row r="116" spans="1:6" ht="15" thickBot="1" x14ac:dyDescent="0.35">
      <c r="A116" s="461">
        <v>88</v>
      </c>
      <c r="B116" s="461" t="s">
        <v>203</v>
      </c>
      <c r="C116" s="441" t="s">
        <v>884</v>
      </c>
      <c r="D116" s="516">
        <v>0</v>
      </c>
      <c r="E116" s="462">
        <v>15000000</v>
      </c>
      <c r="F116" s="462">
        <f t="shared" si="14"/>
        <v>15000000</v>
      </c>
    </row>
    <row r="117" spans="1:6" ht="15" thickBot="1" x14ac:dyDescent="0.35">
      <c r="A117" s="459"/>
      <c r="B117" s="459" t="s">
        <v>885</v>
      </c>
      <c r="C117" s="442" t="s">
        <v>886</v>
      </c>
      <c r="D117" s="521">
        <f t="shared" ref="D117:E117" si="16">SUM(D118:D120)</f>
        <v>609740236.38888884</v>
      </c>
      <c r="E117" s="521">
        <f t="shared" si="16"/>
        <v>70880000</v>
      </c>
      <c r="F117" s="521">
        <f>SUM(F118:F120)</f>
        <v>680620236.38888884</v>
      </c>
    </row>
    <row r="118" spans="1:6" ht="15" thickBot="1" x14ac:dyDescent="0.35">
      <c r="A118" s="461">
        <v>89</v>
      </c>
      <c r="B118" s="461" t="s">
        <v>578</v>
      </c>
      <c r="C118" s="441" t="s">
        <v>886</v>
      </c>
      <c r="D118" s="462">
        <f>'Personnel Detail'!R42</f>
        <v>609740236.38888884</v>
      </c>
      <c r="E118" s="462">
        <f>88705000-'Pooled Fund OH Cost'!H26</f>
        <v>58705000</v>
      </c>
      <c r="F118" s="462">
        <f t="shared" si="14"/>
        <v>668445236.38888884</v>
      </c>
    </row>
    <row r="119" spans="1:6" ht="15" thickBot="1" x14ac:dyDescent="0.35">
      <c r="A119" s="461">
        <v>90</v>
      </c>
      <c r="B119" s="461" t="s">
        <v>122</v>
      </c>
      <c r="C119" s="441" t="s">
        <v>990</v>
      </c>
      <c r="D119" s="516">
        <v>0</v>
      </c>
      <c r="E119" s="462">
        <v>6175000</v>
      </c>
      <c r="F119" s="462">
        <f t="shared" si="14"/>
        <v>6175000</v>
      </c>
    </row>
    <row r="120" spans="1:6" ht="15" thickBot="1" x14ac:dyDescent="0.35">
      <c r="A120" s="470">
        <v>91</v>
      </c>
      <c r="B120" s="470" t="s">
        <v>887</v>
      </c>
      <c r="C120" s="471" t="s">
        <v>888</v>
      </c>
      <c r="D120" s="517">
        <v>0</v>
      </c>
      <c r="E120" s="518">
        <v>6000000</v>
      </c>
      <c r="F120" s="518">
        <f t="shared" si="14"/>
        <v>6000000</v>
      </c>
    </row>
    <row r="121" spans="1:6" x14ac:dyDescent="0.3">
      <c r="A121" s="469"/>
      <c r="B121" s="469"/>
      <c r="C121" s="472" t="s">
        <v>1018</v>
      </c>
      <c r="D121" s="519"/>
      <c r="E121" s="520"/>
      <c r="F121" s="520"/>
    </row>
    <row r="122" spans="1:6" ht="15" thickBot="1" x14ac:dyDescent="0.35">
      <c r="A122" s="459"/>
      <c r="B122" s="459" t="s">
        <v>889</v>
      </c>
      <c r="C122" s="442" t="s">
        <v>511</v>
      </c>
      <c r="D122" s="521">
        <f>SUM(D123:D126)</f>
        <v>466940499.02888882</v>
      </c>
      <c r="E122" s="521">
        <f t="shared" ref="E122" si="17">SUM(E123:E126)</f>
        <v>99000000</v>
      </c>
      <c r="F122" s="521">
        <f>SUM(F123:F126)</f>
        <v>565940499.02888882</v>
      </c>
    </row>
    <row r="123" spans="1:6" ht="15" thickBot="1" x14ac:dyDescent="0.35">
      <c r="A123" s="461">
        <v>92</v>
      </c>
      <c r="B123" s="461" t="s">
        <v>62</v>
      </c>
      <c r="C123" s="441" t="s">
        <v>511</v>
      </c>
      <c r="D123" s="462">
        <f>'Personnel Detail'!R74</f>
        <v>466940499.02888882</v>
      </c>
      <c r="E123" s="462">
        <v>36000000</v>
      </c>
      <c r="F123" s="462">
        <f t="shared" si="14"/>
        <v>502940499.02888882</v>
      </c>
    </row>
    <row r="124" spans="1:6" ht="15" thickBot="1" x14ac:dyDescent="0.35">
      <c r="A124" s="461">
        <v>93</v>
      </c>
      <c r="B124" s="461" t="s">
        <v>890</v>
      </c>
      <c r="C124" s="441" t="s">
        <v>891</v>
      </c>
      <c r="D124" s="516">
        <v>0</v>
      </c>
      <c r="E124" s="462">
        <v>50000000</v>
      </c>
      <c r="F124" s="462">
        <f t="shared" si="14"/>
        <v>50000000</v>
      </c>
    </row>
    <row r="125" spans="1:6" ht="15" thickBot="1" x14ac:dyDescent="0.35">
      <c r="A125" s="461">
        <v>94</v>
      </c>
      <c r="B125" s="461" t="s">
        <v>201</v>
      </c>
      <c r="C125" s="441" t="s">
        <v>991</v>
      </c>
      <c r="D125" s="516">
        <v>0</v>
      </c>
      <c r="E125" s="462">
        <v>6000000</v>
      </c>
      <c r="F125" s="462">
        <f t="shared" si="14"/>
        <v>6000000</v>
      </c>
    </row>
    <row r="126" spans="1:6" ht="15" thickBot="1" x14ac:dyDescent="0.35">
      <c r="A126" s="461">
        <v>95</v>
      </c>
      <c r="B126" s="461" t="s">
        <v>123</v>
      </c>
      <c r="C126" s="441" t="s">
        <v>743</v>
      </c>
      <c r="D126" s="516">
        <v>0</v>
      </c>
      <c r="E126" s="462">
        <f>4000000+'Details OH Cost'!F822</f>
        <v>7000000</v>
      </c>
      <c r="F126" s="462">
        <f t="shared" si="14"/>
        <v>7000000</v>
      </c>
    </row>
    <row r="127" spans="1:6" ht="15" thickBot="1" x14ac:dyDescent="0.35">
      <c r="A127" s="459"/>
      <c r="B127" s="459" t="s">
        <v>892</v>
      </c>
      <c r="C127" s="442" t="s">
        <v>893</v>
      </c>
      <c r="D127" s="521">
        <f>SUM(D128:D128)</f>
        <v>163905377.19111109</v>
      </c>
      <c r="E127" s="521">
        <f t="shared" ref="E127" si="18">SUM(E128:E128)</f>
        <v>65500000</v>
      </c>
      <c r="F127" s="521">
        <f>SUM(F128:F128)</f>
        <v>229405377.19111109</v>
      </c>
    </row>
    <row r="128" spans="1:6" ht="15" thickBot="1" x14ac:dyDescent="0.35">
      <c r="A128" s="461">
        <v>96</v>
      </c>
      <c r="B128" s="461" t="s">
        <v>124</v>
      </c>
      <c r="C128" s="441" t="s">
        <v>893</v>
      </c>
      <c r="D128" s="462">
        <f>'Personnel Detail'!R16</f>
        <v>163905377.19111109</v>
      </c>
      <c r="E128" s="462">
        <v>65500000</v>
      </c>
      <c r="F128" s="462">
        <f t="shared" si="14"/>
        <v>229405377.19111109</v>
      </c>
    </row>
    <row r="129" spans="1:6" ht="15" thickBot="1" x14ac:dyDescent="0.35">
      <c r="A129" s="459"/>
      <c r="B129" s="459" t="s">
        <v>894</v>
      </c>
      <c r="C129" s="442" t="s">
        <v>536</v>
      </c>
      <c r="D129" s="521">
        <f>SUM(D130:D137)</f>
        <v>181043060.34888887</v>
      </c>
      <c r="E129" s="521">
        <f t="shared" ref="E129" si="19">SUM(E130:E137)</f>
        <v>746433000</v>
      </c>
      <c r="F129" s="521">
        <f>SUM(F130:F137)</f>
        <v>927476060.34888887</v>
      </c>
    </row>
    <row r="130" spans="1:6" ht="15" thickBot="1" x14ac:dyDescent="0.35">
      <c r="A130" s="461">
        <v>97</v>
      </c>
      <c r="B130" s="461" t="s">
        <v>125</v>
      </c>
      <c r="C130" s="441" t="s">
        <v>536</v>
      </c>
      <c r="D130" s="462">
        <f>'Personnel Detail'!R18</f>
        <v>118855553.52222221</v>
      </c>
      <c r="E130" s="462">
        <f>923000000-'Pooled Fund OH Cost'!H23+'Details OH Cost'!F870</f>
        <v>593950000</v>
      </c>
      <c r="F130" s="462">
        <f t="shared" si="14"/>
        <v>712805553.52222216</v>
      </c>
    </row>
    <row r="131" spans="1:6" ht="15" thickBot="1" x14ac:dyDescent="0.35">
      <c r="A131" s="461">
        <v>98</v>
      </c>
      <c r="B131" s="461" t="s">
        <v>126</v>
      </c>
      <c r="C131" s="441" t="s">
        <v>895</v>
      </c>
      <c r="D131" s="516">
        <v>0</v>
      </c>
      <c r="E131" s="462">
        <v>30000000</v>
      </c>
      <c r="F131" s="462">
        <f t="shared" si="14"/>
        <v>30000000</v>
      </c>
    </row>
    <row r="132" spans="1:6" ht="15" thickBot="1" x14ac:dyDescent="0.35">
      <c r="A132" s="461">
        <v>99</v>
      </c>
      <c r="B132" s="461" t="s">
        <v>127</v>
      </c>
      <c r="C132" s="441" t="s">
        <v>896</v>
      </c>
      <c r="D132" s="516">
        <v>0</v>
      </c>
      <c r="E132" s="462">
        <v>10000000</v>
      </c>
      <c r="F132" s="462">
        <f t="shared" si="14"/>
        <v>10000000</v>
      </c>
    </row>
    <row r="133" spans="1:6" ht="15" thickBot="1" x14ac:dyDescent="0.35">
      <c r="A133" s="461">
        <v>100</v>
      </c>
      <c r="B133" s="461" t="s">
        <v>128</v>
      </c>
      <c r="C133" s="441" t="s">
        <v>897</v>
      </c>
      <c r="D133" s="516">
        <v>0</v>
      </c>
      <c r="E133" s="462">
        <v>21263000</v>
      </c>
      <c r="F133" s="462">
        <f t="shared" si="14"/>
        <v>21263000</v>
      </c>
    </row>
    <row r="134" spans="1:6" ht="15" thickBot="1" x14ac:dyDescent="0.35">
      <c r="A134" s="461">
        <v>101</v>
      </c>
      <c r="B134" s="461" t="s">
        <v>195</v>
      </c>
      <c r="C134" s="441" t="s">
        <v>898</v>
      </c>
      <c r="D134" s="516">
        <v>0</v>
      </c>
      <c r="E134" s="462">
        <v>11220000</v>
      </c>
      <c r="F134" s="462">
        <f t="shared" si="14"/>
        <v>11220000</v>
      </c>
    </row>
    <row r="135" spans="1:6" ht="15" thickBot="1" x14ac:dyDescent="0.35">
      <c r="A135" s="461">
        <v>102</v>
      </c>
      <c r="B135" s="461" t="s">
        <v>196</v>
      </c>
      <c r="C135" s="441" t="s">
        <v>899</v>
      </c>
      <c r="D135" s="516">
        <v>0</v>
      </c>
      <c r="E135" s="462">
        <v>17000000</v>
      </c>
      <c r="F135" s="462">
        <f t="shared" si="14"/>
        <v>17000000</v>
      </c>
    </row>
    <row r="136" spans="1:6" ht="15" thickBot="1" x14ac:dyDescent="0.35">
      <c r="A136" s="461">
        <v>103</v>
      </c>
      <c r="B136" s="461" t="s">
        <v>579</v>
      </c>
      <c r="C136" s="441" t="s">
        <v>900</v>
      </c>
      <c r="D136" s="516">
        <v>0</v>
      </c>
      <c r="E136" s="462">
        <v>16000000</v>
      </c>
      <c r="F136" s="462">
        <f t="shared" si="14"/>
        <v>16000000</v>
      </c>
    </row>
    <row r="137" spans="1:6" ht="15" thickBot="1" x14ac:dyDescent="0.35">
      <c r="A137" s="461">
        <v>104</v>
      </c>
      <c r="B137" s="461" t="s">
        <v>129</v>
      </c>
      <c r="C137" s="441" t="s">
        <v>901</v>
      </c>
      <c r="D137" s="462">
        <f>'Personnel Detail'!R10</f>
        <v>62187506.826666668</v>
      </c>
      <c r="E137" s="462">
        <v>47000000</v>
      </c>
      <c r="F137" s="462">
        <f t="shared" si="14"/>
        <v>109187506.82666667</v>
      </c>
    </row>
    <row r="138" spans="1:6" ht="15" thickBot="1" x14ac:dyDescent="0.35">
      <c r="A138" s="459"/>
      <c r="B138" s="459" t="s">
        <v>902</v>
      </c>
      <c r="C138" s="442" t="s">
        <v>300</v>
      </c>
      <c r="D138" s="521">
        <f>SUM(D139:D141)</f>
        <v>528779136.71333355</v>
      </c>
      <c r="E138" s="521">
        <f t="shared" ref="E138" si="20">SUM(E139:E141)</f>
        <v>72070000</v>
      </c>
      <c r="F138" s="521">
        <f>SUM(F139:F141)</f>
        <v>600849136.71333349</v>
      </c>
    </row>
    <row r="139" spans="1:6" ht="15" thickBot="1" x14ac:dyDescent="0.35">
      <c r="A139" s="461">
        <v>105</v>
      </c>
      <c r="B139" s="461" t="s">
        <v>65</v>
      </c>
      <c r="C139" s="441" t="s">
        <v>300</v>
      </c>
      <c r="D139" s="516">
        <v>0</v>
      </c>
      <c r="E139" s="462">
        <f>16820000+'Details OH Cost'!F894</f>
        <v>26820000</v>
      </c>
      <c r="F139" s="462">
        <f t="shared" si="14"/>
        <v>26820000</v>
      </c>
    </row>
    <row r="140" spans="1:6" ht="15" thickBot="1" x14ac:dyDescent="0.35">
      <c r="A140" s="461">
        <v>106</v>
      </c>
      <c r="B140" s="461" t="s">
        <v>130</v>
      </c>
      <c r="C140" s="441" t="s">
        <v>749</v>
      </c>
      <c r="D140" s="462">
        <f>'Personnel Detail'!R71</f>
        <v>444806617.74888909</v>
      </c>
      <c r="E140" s="462">
        <v>18525000</v>
      </c>
      <c r="F140" s="462">
        <f t="shared" si="14"/>
        <v>463331617.74888909</v>
      </c>
    </row>
    <row r="141" spans="1:6" ht="15" thickBot="1" x14ac:dyDescent="0.35">
      <c r="A141" s="461">
        <v>107</v>
      </c>
      <c r="B141" s="461" t="s">
        <v>131</v>
      </c>
      <c r="C141" s="441" t="s">
        <v>903</v>
      </c>
      <c r="D141" s="462">
        <f>'Personnel Detail'!R72</f>
        <v>83972518.964444444</v>
      </c>
      <c r="E141" s="462">
        <v>26725000</v>
      </c>
      <c r="F141" s="462">
        <f t="shared" si="14"/>
        <v>110697518.96444444</v>
      </c>
    </row>
    <row r="142" spans="1:6" ht="15" thickBot="1" x14ac:dyDescent="0.35">
      <c r="A142" s="459"/>
      <c r="B142" s="459" t="s">
        <v>904</v>
      </c>
      <c r="C142" s="442" t="s">
        <v>905</v>
      </c>
      <c r="D142" s="521">
        <f t="shared" ref="D142" si="21">SUM(D143:D143)</f>
        <v>146429343.57333332</v>
      </c>
      <c r="E142" s="521">
        <f>SUM(E143:E143)</f>
        <v>4875000</v>
      </c>
      <c r="F142" s="521">
        <f>SUM(F143:F143)</f>
        <v>151304343.57333332</v>
      </c>
    </row>
    <row r="143" spans="1:6" ht="15" thickBot="1" x14ac:dyDescent="0.35">
      <c r="A143" s="461">
        <v>108</v>
      </c>
      <c r="B143" s="461" t="s">
        <v>132</v>
      </c>
      <c r="C143" s="441" t="s">
        <v>906</v>
      </c>
      <c r="D143" s="462">
        <f>'Personnel Detail'!R48</f>
        <v>146429343.57333332</v>
      </c>
      <c r="E143" s="462">
        <v>4875000</v>
      </c>
      <c r="F143" s="462">
        <f t="shared" si="14"/>
        <v>151304343.57333332</v>
      </c>
    </row>
    <row r="144" spans="1:6" ht="15" thickBot="1" x14ac:dyDescent="0.35">
      <c r="A144" s="459"/>
      <c r="B144" s="459" t="s">
        <v>907</v>
      </c>
      <c r="C144" s="442" t="s">
        <v>323</v>
      </c>
      <c r="D144" s="521">
        <f t="shared" ref="D144:E144" si="22">SUM(D145:D145)</f>
        <v>238132689.96222222</v>
      </c>
      <c r="E144" s="521">
        <f t="shared" si="22"/>
        <v>33400000</v>
      </c>
      <c r="F144" s="521">
        <f>SUM(F145:F145)</f>
        <v>271532689.96222222</v>
      </c>
    </row>
    <row r="145" spans="1:10" ht="15" thickBot="1" x14ac:dyDescent="0.35">
      <c r="A145" s="461">
        <v>109</v>
      </c>
      <c r="B145" s="461" t="s">
        <v>133</v>
      </c>
      <c r="C145" s="441" t="s">
        <v>323</v>
      </c>
      <c r="D145" s="462">
        <f>'Personnel Detail'!R37</f>
        <v>238132689.96222222</v>
      </c>
      <c r="E145" s="462">
        <v>33400000</v>
      </c>
      <c r="F145" s="462">
        <f t="shared" si="14"/>
        <v>271532689.96222222</v>
      </c>
    </row>
    <row r="146" spans="1:10" ht="15" thickBot="1" x14ac:dyDescent="0.35">
      <c r="A146" s="459"/>
      <c r="B146" s="459" t="s">
        <v>908</v>
      </c>
      <c r="C146" s="442" t="s">
        <v>432</v>
      </c>
      <c r="D146" s="521">
        <f t="shared" ref="D146:E146" si="23">SUM(D147:D148)</f>
        <v>144751500.11777779</v>
      </c>
      <c r="E146" s="521">
        <f t="shared" si="23"/>
        <v>59000000</v>
      </c>
      <c r="F146" s="521">
        <f>SUM(F147:F148)</f>
        <v>203751500.11777779</v>
      </c>
    </row>
    <row r="147" spans="1:10" ht="15" thickBot="1" x14ac:dyDescent="0.35">
      <c r="A147" s="461">
        <v>110</v>
      </c>
      <c r="B147" s="461" t="s">
        <v>134</v>
      </c>
      <c r="C147" s="441" t="s">
        <v>432</v>
      </c>
      <c r="D147" s="462">
        <f>'Personnel Detail'!R32</f>
        <v>144751500.11777779</v>
      </c>
      <c r="E147" s="462">
        <f>34000000+'Details OH Cost'!F930</f>
        <v>44000000</v>
      </c>
      <c r="F147" s="462">
        <f t="shared" si="14"/>
        <v>188751500.11777779</v>
      </c>
    </row>
    <row r="148" spans="1:10" ht="15" thickBot="1" x14ac:dyDescent="0.35">
      <c r="A148" s="461">
        <v>111</v>
      </c>
      <c r="B148" s="461" t="s">
        <v>197</v>
      </c>
      <c r="C148" s="441" t="s">
        <v>992</v>
      </c>
      <c r="D148" s="516">
        <v>0</v>
      </c>
      <c r="E148" s="462">
        <v>15000000</v>
      </c>
      <c r="F148" s="462">
        <f t="shared" ref="F148" si="24">D148+E148</f>
        <v>15000000</v>
      </c>
    </row>
    <row r="149" spans="1:10" ht="15" thickBot="1" x14ac:dyDescent="0.35">
      <c r="A149" s="459"/>
      <c r="B149" s="459" t="s">
        <v>909</v>
      </c>
      <c r="C149" s="442" t="s">
        <v>910</v>
      </c>
      <c r="D149" s="527">
        <f t="shared" ref="D149:E149" si="25">SUM(D150:D150)</f>
        <v>0</v>
      </c>
      <c r="E149" s="521">
        <f t="shared" si="25"/>
        <v>25525000</v>
      </c>
      <c r="F149" s="521">
        <f>SUM(F150:F150)</f>
        <v>25525000</v>
      </c>
    </row>
    <row r="150" spans="1:10" ht="15" thickBot="1" x14ac:dyDescent="0.35">
      <c r="A150" s="470">
        <v>112</v>
      </c>
      <c r="B150" s="470" t="s">
        <v>580</v>
      </c>
      <c r="C150" s="471" t="s">
        <v>910</v>
      </c>
      <c r="D150" s="517">
        <v>0</v>
      </c>
      <c r="E150" s="518">
        <v>25525000</v>
      </c>
      <c r="F150" s="518">
        <v>25525000</v>
      </c>
    </row>
    <row r="151" spans="1:10" x14ac:dyDescent="0.3">
      <c r="A151" s="469"/>
      <c r="B151" s="469"/>
      <c r="C151" s="472" t="s">
        <v>1019</v>
      </c>
      <c r="D151" s="519"/>
      <c r="E151" s="520"/>
      <c r="F151" s="520"/>
    </row>
    <row r="152" spans="1:10" ht="15" thickBot="1" x14ac:dyDescent="0.35">
      <c r="A152" s="456"/>
      <c r="B152" s="456" t="s">
        <v>911</v>
      </c>
      <c r="C152" s="457" t="s">
        <v>912</v>
      </c>
      <c r="D152" s="526">
        <f t="shared" ref="D152:E152" si="26">D153+D161</f>
        <v>2935030978.6311111</v>
      </c>
      <c r="E152" s="526">
        <f t="shared" si="26"/>
        <v>804392000</v>
      </c>
      <c r="F152" s="526">
        <f>F153+F161</f>
        <v>3739422978.6311111</v>
      </c>
      <c r="J152" s="438"/>
    </row>
    <row r="153" spans="1:10" ht="15" thickBot="1" x14ac:dyDescent="0.35">
      <c r="A153" s="459"/>
      <c r="B153" s="459" t="s">
        <v>913</v>
      </c>
      <c r="C153" s="442" t="s">
        <v>914</v>
      </c>
      <c r="D153" s="521">
        <f>SUM(D154:D160)</f>
        <v>2599729410.771111</v>
      </c>
      <c r="E153" s="521">
        <f t="shared" ref="E153" si="27">SUM(E154:E160)</f>
        <v>650000000</v>
      </c>
      <c r="F153" s="521">
        <f>SUM(F154:F160)</f>
        <v>3249729410.771111</v>
      </c>
    </row>
    <row r="154" spans="1:10" ht="15" thickBot="1" x14ac:dyDescent="0.35">
      <c r="A154" s="461">
        <v>113</v>
      </c>
      <c r="B154" s="461" t="s">
        <v>68</v>
      </c>
      <c r="C154" s="441" t="s">
        <v>914</v>
      </c>
      <c r="D154" s="462">
        <f>'Personnel Detail'!R77</f>
        <v>1704723368.4288888</v>
      </c>
      <c r="E154" s="462">
        <v>300000000</v>
      </c>
      <c r="F154" s="462">
        <f t="shared" ref="F154:F164" si="28">D154+E154</f>
        <v>2004723368.4288888</v>
      </c>
    </row>
    <row r="155" spans="1:10" ht="15" thickBot="1" x14ac:dyDescent="0.35">
      <c r="A155" s="461">
        <v>114</v>
      </c>
      <c r="B155" s="461" t="s">
        <v>581</v>
      </c>
      <c r="C155" s="441" t="s">
        <v>915</v>
      </c>
      <c r="D155" s="462">
        <f>'Personnel Detail'!R76</f>
        <v>815248736.75777769</v>
      </c>
      <c r="E155" s="462">
        <v>115000000</v>
      </c>
      <c r="F155" s="462">
        <f t="shared" si="28"/>
        <v>930248736.75777769</v>
      </c>
    </row>
    <row r="156" spans="1:10" ht="15" thickBot="1" x14ac:dyDescent="0.35">
      <c r="A156" s="461">
        <v>115</v>
      </c>
      <c r="B156" s="461" t="s">
        <v>582</v>
      </c>
      <c r="C156" s="441" t="s">
        <v>993</v>
      </c>
      <c r="D156" s="516">
        <v>0</v>
      </c>
      <c r="E156" s="462">
        <v>30000000</v>
      </c>
      <c r="F156" s="462">
        <f t="shared" si="28"/>
        <v>30000000</v>
      </c>
    </row>
    <row r="157" spans="1:10" ht="15" thickBot="1" x14ac:dyDescent="0.35">
      <c r="A157" s="461">
        <v>116</v>
      </c>
      <c r="B157" s="461" t="s">
        <v>135</v>
      </c>
      <c r="C157" s="441" t="s">
        <v>916</v>
      </c>
      <c r="D157" s="462">
        <f>'Personnel Detail'!R78</f>
        <v>79757305.584444463</v>
      </c>
      <c r="E157" s="462">
        <v>55000000</v>
      </c>
      <c r="F157" s="462">
        <f t="shared" si="28"/>
        <v>134757305.58444446</v>
      </c>
    </row>
    <row r="158" spans="1:10" ht="15" thickBot="1" x14ac:dyDescent="0.35">
      <c r="A158" s="461">
        <v>117</v>
      </c>
      <c r="B158" s="461" t="s">
        <v>136</v>
      </c>
      <c r="C158" s="441" t="s">
        <v>917</v>
      </c>
      <c r="D158" s="516">
        <v>0</v>
      </c>
      <c r="E158" s="462">
        <v>72000000</v>
      </c>
      <c r="F158" s="462">
        <f t="shared" si="28"/>
        <v>72000000</v>
      </c>
    </row>
    <row r="159" spans="1:10" ht="15" thickBot="1" x14ac:dyDescent="0.35">
      <c r="A159" s="461">
        <v>118</v>
      </c>
      <c r="B159" s="461" t="s">
        <v>137</v>
      </c>
      <c r="C159" s="441" t="s">
        <v>918</v>
      </c>
      <c r="D159" s="516">
        <v>0</v>
      </c>
      <c r="E159" s="462">
        <v>36000000</v>
      </c>
      <c r="F159" s="462">
        <f t="shared" si="28"/>
        <v>36000000</v>
      </c>
    </row>
    <row r="160" spans="1:10" ht="15" thickBot="1" x14ac:dyDescent="0.35">
      <c r="A160" s="461">
        <v>119</v>
      </c>
      <c r="B160" s="461" t="s">
        <v>583</v>
      </c>
      <c r="C160" s="441" t="s">
        <v>919</v>
      </c>
      <c r="D160" s="516">
        <v>0</v>
      </c>
      <c r="E160" s="462">
        <v>42000000</v>
      </c>
      <c r="F160" s="462">
        <f t="shared" si="28"/>
        <v>42000000</v>
      </c>
    </row>
    <row r="161" spans="1:6" ht="15" thickBot="1" x14ac:dyDescent="0.35">
      <c r="A161" s="459"/>
      <c r="B161" s="459" t="s">
        <v>920</v>
      </c>
      <c r="C161" s="442" t="s">
        <v>921</v>
      </c>
      <c r="D161" s="521">
        <f>SUM(D162:D164)</f>
        <v>335301567.85999995</v>
      </c>
      <c r="E161" s="521">
        <f t="shared" ref="E161" si="29">SUM(E162:E164)</f>
        <v>154392000</v>
      </c>
      <c r="F161" s="521">
        <f>SUM(F162:F164)</f>
        <v>489693567.85999995</v>
      </c>
    </row>
    <row r="162" spans="1:6" ht="15" thickBot="1" x14ac:dyDescent="0.35">
      <c r="A162" s="461">
        <v>120</v>
      </c>
      <c r="B162" s="461" t="s">
        <v>59</v>
      </c>
      <c r="C162" s="441" t="s">
        <v>921</v>
      </c>
      <c r="D162" s="462">
        <f>'Personnel Detail'!R34</f>
        <v>327590853.06888884</v>
      </c>
      <c r="E162" s="462">
        <v>101834000</v>
      </c>
      <c r="F162" s="462">
        <f t="shared" si="28"/>
        <v>429424853.06888884</v>
      </c>
    </row>
    <row r="163" spans="1:6" ht="15" thickBot="1" x14ac:dyDescent="0.35">
      <c r="A163" s="461">
        <v>121</v>
      </c>
      <c r="B163" s="461" t="s">
        <v>138</v>
      </c>
      <c r="C163" s="441" t="s">
        <v>922</v>
      </c>
      <c r="D163" s="462">
        <f>'Personnel Detail'!R38</f>
        <v>7710714.7911111098</v>
      </c>
      <c r="E163" s="462">
        <v>33558000</v>
      </c>
      <c r="F163" s="462">
        <f t="shared" si="28"/>
        <v>41268714.791111112</v>
      </c>
    </row>
    <row r="164" spans="1:6" ht="15" thickBot="1" x14ac:dyDescent="0.35">
      <c r="A164" s="461">
        <v>122</v>
      </c>
      <c r="B164" s="461" t="s">
        <v>584</v>
      </c>
      <c r="C164" s="441" t="s">
        <v>923</v>
      </c>
      <c r="D164" s="516">
        <v>0</v>
      </c>
      <c r="E164" s="462">
        <v>19000000</v>
      </c>
      <c r="F164" s="462">
        <f t="shared" si="28"/>
        <v>19000000</v>
      </c>
    </row>
    <row r="165" spans="1:6" ht="15" thickBot="1" x14ac:dyDescent="0.35">
      <c r="A165" s="456"/>
      <c r="B165" s="456" t="s">
        <v>924</v>
      </c>
      <c r="C165" s="457" t="s">
        <v>925</v>
      </c>
      <c r="D165" s="528">
        <f t="shared" ref="D165:E165" si="30">D166</f>
        <v>0</v>
      </c>
      <c r="E165" s="526">
        <f t="shared" si="30"/>
        <v>7761665411</v>
      </c>
      <c r="F165" s="526">
        <f>F166</f>
        <v>7761665411</v>
      </c>
    </row>
    <row r="166" spans="1:6" ht="15" thickBot="1" x14ac:dyDescent="0.35">
      <c r="A166" s="459"/>
      <c r="B166" s="459" t="s">
        <v>926</v>
      </c>
      <c r="C166" s="442" t="s">
        <v>769</v>
      </c>
      <c r="D166" s="527">
        <f t="shared" ref="D166:E166" si="31">SUM(D167:D168)</f>
        <v>0</v>
      </c>
      <c r="E166" s="521">
        <f t="shared" si="31"/>
        <v>7761665411</v>
      </c>
      <c r="F166" s="521">
        <f>SUM(F167:F168)</f>
        <v>7761665411</v>
      </c>
    </row>
    <row r="167" spans="1:6" ht="15" thickBot="1" x14ac:dyDescent="0.35">
      <c r="A167" s="461">
        <v>123</v>
      </c>
      <c r="B167" s="461" t="s">
        <v>927</v>
      </c>
      <c r="C167" s="441" t="s">
        <v>769</v>
      </c>
      <c r="D167" s="516">
        <v>0</v>
      </c>
      <c r="E167" s="462">
        <f>4992115411+'Details OH Cost'!F1012</f>
        <v>7724315411</v>
      </c>
      <c r="F167" s="462">
        <f t="shared" ref="F167:F168" si="32">D167+E167</f>
        <v>7724315411</v>
      </c>
    </row>
    <row r="168" spans="1:6" ht="15" thickBot="1" x14ac:dyDescent="0.35">
      <c r="A168" s="461">
        <v>124</v>
      </c>
      <c r="B168" s="461" t="s">
        <v>585</v>
      </c>
      <c r="C168" s="441" t="s">
        <v>928</v>
      </c>
      <c r="D168" s="516">
        <v>0</v>
      </c>
      <c r="E168" s="462">
        <v>37350000</v>
      </c>
      <c r="F168" s="462">
        <f t="shared" si="32"/>
        <v>37350000</v>
      </c>
    </row>
    <row r="169" spans="1:6" ht="15" thickBot="1" x14ac:dyDescent="0.35">
      <c r="A169" s="456"/>
      <c r="B169" s="456" t="s">
        <v>929</v>
      </c>
      <c r="C169" s="457" t="s">
        <v>930</v>
      </c>
      <c r="D169" s="526">
        <f t="shared" ref="D169:E169" si="33">D170+D173+D179+D205+D220+D225+D228+D231</f>
        <v>33567984844.520008</v>
      </c>
      <c r="E169" s="526">
        <f t="shared" si="33"/>
        <v>14097306100</v>
      </c>
      <c r="F169" s="526">
        <f>F170+F173+F179+F205+F220+F225+F228+F231</f>
        <v>47665290944.520012</v>
      </c>
    </row>
    <row r="170" spans="1:6" ht="15" thickBot="1" x14ac:dyDescent="0.35">
      <c r="A170" s="459"/>
      <c r="B170" s="459" t="s">
        <v>931</v>
      </c>
      <c r="C170" s="442" t="s">
        <v>270</v>
      </c>
      <c r="D170" s="521">
        <f t="shared" ref="D170:E170" si="34">SUM(D171:D172)</f>
        <v>78705845.555555552</v>
      </c>
      <c r="E170" s="521">
        <f t="shared" si="34"/>
        <v>882000000</v>
      </c>
      <c r="F170" s="521">
        <f>SUM(F171:F172)</f>
        <v>960705845.55555558</v>
      </c>
    </row>
    <row r="171" spans="1:6" ht="15" thickBot="1" x14ac:dyDescent="0.35">
      <c r="A171" s="461">
        <v>125</v>
      </c>
      <c r="B171" s="461" t="s">
        <v>139</v>
      </c>
      <c r="C171" s="441" t="s">
        <v>270</v>
      </c>
      <c r="D171" s="462">
        <f>'Personnel Detail'!R75</f>
        <v>55298494.642222226</v>
      </c>
      <c r="E171" s="462">
        <f>72000000+'Details OH Cost'!F1062</f>
        <v>87000000</v>
      </c>
      <c r="F171" s="462">
        <f t="shared" ref="F171:F232" si="35">D171+E171</f>
        <v>142298494.64222223</v>
      </c>
    </row>
    <row r="172" spans="1:6" ht="15" thickBot="1" x14ac:dyDescent="0.35">
      <c r="A172" s="461">
        <v>126</v>
      </c>
      <c r="B172" s="461" t="s">
        <v>140</v>
      </c>
      <c r="C172" s="441" t="s">
        <v>932</v>
      </c>
      <c r="D172" s="462">
        <f>'Personnel Detail'!R50</f>
        <v>23407350.913333334</v>
      </c>
      <c r="E172" s="462">
        <v>795000000</v>
      </c>
      <c r="F172" s="462">
        <f t="shared" si="35"/>
        <v>818407350.9133333</v>
      </c>
    </row>
    <row r="173" spans="1:6" ht="15" thickBot="1" x14ac:dyDescent="0.35">
      <c r="A173" s="459"/>
      <c r="B173" s="459" t="s">
        <v>933</v>
      </c>
      <c r="C173" s="442" t="s">
        <v>586</v>
      </c>
      <c r="D173" s="521">
        <f>SUM(D174:D178)</f>
        <v>146970534.16888893</v>
      </c>
      <c r="E173" s="521">
        <f t="shared" ref="E173" si="36">SUM(E174:E178)</f>
        <v>720160000</v>
      </c>
      <c r="F173" s="521">
        <f>SUM(F174:F178)</f>
        <v>867130534.16888893</v>
      </c>
    </row>
    <row r="174" spans="1:6" ht="15" thickBot="1" x14ac:dyDescent="0.35">
      <c r="A174" s="461">
        <v>127</v>
      </c>
      <c r="B174" s="461" t="s">
        <v>141</v>
      </c>
      <c r="C174" s="441" t="s">
        <v>586</v>
      </c>
      <c r="D174" s="462">
        <f>'Personnel Detail'!R73</f>
        <v>146970534.16888893</v>
      </c>
      <c r="E174" s="462">
        <f>270968000+'Details OH Cost'!F1098</f>
        <v>456000000</v>
      </c>
      <c r="F174" s="462">
        <f t="shared" si="35"/>
        <v>602970534.16888893</v>
      </c>
    </row>
    <row r="175" spans="1:6" ht="15" thickBot="1" x14ac:dyDescent="0.35">
      <c r="A175" s="461">
        <v>128</v>
      </c>
      <c r="B175" s="461" t="s">
        <v>142</v>
      </c>
      <c r="C175" s="441" t="s">
        <v>934</v>
      </c>
      <c r="D175" s="516">
        <v>0</v>
      </c>
      <c r="E175" s="462">
        <v>51000000</v>
      </c>
      <c r="F175" s="462">
        <f t="shared" si="35"/>
        <v>51000000</v>
      </c>
    </row>
    <row r="176" spans="1:6" ht="15" thickBot="1" x14ac:dyDescent="0.35">
      <c r="A176" s="461">
        <v>129</v>
      </c>
      <c r="B176" s="461" t="s">
        <v>587</v>
      </c>
      <c r="C176" s="441" t="s">
        <v>935</v>
      </c>
      <c r="D176" s="516">
        <v>0</v>
      </c>
      <c r="E176" s="462">
        <v>5000000</v>
      </c>
      <c r="F176" s="462">
        <f t="shared" si="35"/>
        <v>5000000</v>
      </c>
    </row>
    <row r="177" spans="1:6" ht="15" thickBot="1" x14ac:dyDescent="0.35">
      <c r="A177" s="463" t="s">
        <v>1013</v>
      </c>
      <c r="B177" s="463" t="s">
        <v>704</v>
      </c>
      <c r="C177" s="441" t="s">
        <v>688</v>
      </c>
      <c r="D177" s="516">
        <v>0</v>
      </c>
      <c r="E177" s="462">
        <f>'Details OH Cost'!F1119</f>
        <v>10000000</v>
      </c>
      <c r="F177" s="462">
        <f t="shared" si="35"/>
        <v>10000000</v>
      </c>
    </row>
    <row r="178" spans="1:6" ht="15" thickBot="1" x14ac:dyDescent="0.35">
      <c r="A178" s="461">
        <v>131</v>
      </c>
      <c r="B178" s="461" t="s">
        <v>588</v>
      </c>
      <c r="C178" s="441" t="s">
        <v>936</v>
      </c>
      <c r="D178" s="516">
        <v>0</v>
      </c>
      <c r="E178" s="462">
        <v>198160000</v>
      </c>
      <c r="F178" s="462">
        <f t="shared" si="35"/>
        <v>198160000</v>
      </c>
    </row>
    <row r="179" spans="1:6" ht="15" thickBot="1" x14ac:dyDescent="0.35">
      <c r="A179" s="459"/>
      <c r="B179" s="459" t="s">
        <v>937</v>
      </c>
      <c r="C179" s="442" t="s">
        <v>788</v>
      </c>
      <c r="D179" s="521">
        <f>SUM(D180:D204)</f>
        <v>20585610100.020004</v>
      </c>
      <c r="E179" s="521">
        <f t="shared" ref="E179" si="37">SUM(E180:E204)</f>
        <v>7196656750</v>
      </c>
      <c r="F179" s="521">
        <f>SUM(F180:F204)</f>
        <v>27782266850.02</v>
      </c>
    </row>
    <row r="180" spans="1:6" ht="15" thickBot="1" x14ac:dyDescent="0.35">
      <c r="A180" s="470">
        <v>132</v>
      </c>
      <c r="B180" s="470" t="s">
        <v>67</v>
      </c>
      <c r="C180" s="471" t="s">
        <v>788</v>
      </c>
      <c r="D180" s="518">
        <f>'Personnel Detail'!R19</f>
        <v>1415486281.4711125</v>
      </c>
      <c r="E180" s="518">
        <f>374000000+'Details OH Cost'!F1164</f>
        <v>449000000</v>
      </c>
      <c r="F180" s="518">
        <f t="shared" si="35"/>
        <v>1864486281.4711125</v>
      </c>
    </row>
    <row r="181" spans="1:6" x14ac:dyDescent="0.3">
      <c r="A181" s="469"/>
      <c r="B181" s="469"/>
      <c r="C181" s="472" t="s">
        <v>1020</v>
      </c>
      <c r="D181" s="520"/>
      <c r="E181" s="520"/>
      <c r="F181" s="520"/>
    </row>
    <row r="182" spans="1:6" ht="15" thickBot="1" x14ac:dyDescent="0.35">
      <c r="A182" s="461">
        <v>133</v>
      </c>
      <c r="B182" s="461" t="s">
        <v>143</v>
      </c>
      <c r="C182" s="441" t="s">
        <v>938</v>
      </c>
      <c r="D182" s="516">
        <v>0</v>
      </c>
      <c r="E182" s="462">
        <v>5400000</v>
      </c>
      <c r="F182" s="462">
        <f t="shared" si="35"/>
        <v>5400000</v>
      </c>
    </row>
    <row r="183" spans="1:6" ht="15" thickBot="1" x14ac:dyDescent="0.35">
      <c r="A183" s="461">
        <v>134</v>
      </c>
      <c r="B183" s="461" t="s">
        <v>144</v>
      </c>
      <c r="C183" s="441" t="s">
        <v>939</v>
      </c>
      <c r="D183" s="516">
        <v>0</v>
      </c>
      <c r="E183" s="462">
        <v>5470000</v>
      </c>
      <c r="F183" s="462">
        <f t="shared" si="35"/>
        <v>5470000</v>
      </c>
    </row>
    <row r="184" spans="1:6" ht="15" thickBot="1" x14ac:dyDescent="0.35">
      <c r="A184" s="461">
        <v>135</v>
      </c>
      <c r="B184" s="463" t="s">
        <v>995</v>
      </c>
      <c r="C184" s="441" t="s">
        <v>711</v>
      </c>
      <c r="D184" s="516">
        <v>0</v>
      </c>
      <c r="E184" s="462">
        <f>'Details OH Cost'!F1183</f>
        <v>7500000</v>
      </c>
      <c r="F184" s="462">
        <f t="shared" si="35"/>
        <v>7500000</v>
      </c>
    </row>
    <row r="185" spans="1:6" ht="15" thickBot="1" x14ac:dyDescent="0.35">
      <c r="A185" s="461">
        <v>136</v>
      </c>
      <c r="B185" s="461" t="s">
        <v>145</v>
      </c>
      <c r="C185" s="441" t="s">
        <v>940</v>
      </c>
      <c r="D185" s="462">
        <f>'Personnel Detail'!R66</f>
        <v>301666138.49555564</v>
      </c>
      <c r="E185" s="462">
        <v>76400000</v>
      </c>
      <c r="F185" s="462">
        <f t="shared" si="35"/>
        <v>378066138.49555564</v>
      </c>
    </row>
    <row r="186" spans="1:6" ht="15" thickBot="1" x14ac:dyDescent="0.35">
      <c r="A186" s="461">
        <v>137</v>
      </c>
      <c r="B186" s="461" t="s">
        <v>146</v>
      </c>
      <c r="C186" s="441" t="s">
        <v>941</v>
      </c>
      <c r="D186" s="516">
        <v>0</v>
      </c>
      <c r="E186" s="462">
        <v>23750000</v>
      </c>
      <c r="F186" s="462">
        <f t="shared" si="35"/>
        <v>23750000</v>
      </c>
    </row>
    <row r="187" spans="1:6" ht="15" thickBot="1" x14ac:dyDescent="0.35">
      <c r="A187" s="461">
        <v>138</v>
      </c>
      <c r="B187" s="461" t="s">
        <v>147</v>
      </c>
      <c r="C187" s="441" t="s">
        <v>942</v>
      </c>
      <c r="D187" s="516">
        <v>0</v>
      </c>
      <c r="E187" s="462">
        <v>36000000</v>
      </c>
      <c r="F187" s="462">
        <f t="shared" si="35"/>
        <v>36000000</v>
      </c>
    </row>
    <row r="188" spans="1:6" ht="15" thickBot="1" x14ac:dyDescent="0.35">
      <c r="A188" s="461">
        <v>139</v>
      </c>
      <c r="B188" s="461" t="s">
        <v>148</v>
      </c>
      <c r="C188" s="441" t="s">
        <v>943</v>
      </c>
      <c r="D188" s="462">
        <f>'Personnel Detail'!R39</f>
        <v>44279274.075555548</v>
      </c>
      <c r="E188" s="462">
        <v>14000000</v>
      </c>
      <c r="F188" s="462">
        <f t="shared" si="35"/>
        <v>58279274.075555548</v>
      </c>
    </row>
    <row r="189" spans="1:6" ht="15" thickBot="1" x14ac:dyDescent="0.35">
      <c r="A189" s="461">
        <v>140</v>
      </c>
      <c r="B189" s="461" t="s">
        <v>168</v>
      </c>
      <c r="C189" s="441" t="s">
        <v>944</v>
      </c>
      <c r="D189" s="516">
        <v>0</v>
      </c>
      <c r="E189" s="462">
        <v>2600000000</v>
      </c>
      <c r="F189" s="462">
        <f t="shared" si="35"/>
        <v>2600000000</v>
      </c>
    </row>
    <row r="190" spans="1:6" ht="15" thickBot="1" x14ac:dyDescent="0.35">
      <c r="A190" s="461">
        <v>141</v>
      </c>
      <c r="B190" s="461" t="s">
        <v>169</v>
      </c>
      <c r="C190" s="441" t="s">
        <v>945</v>
      </c>
      <c r="D190" s="516">
        <v>0</v>
      </c>
      <c r="E190" s="462">
        <v>2102000000</v>
      </c>
      <c r="F190" s="462">
        <f t="shared" si="35"/>
        <v>2102000000</v>
      </c>
    </row>
    <row r="191" spans="1:6" ht="15" thickBot="1" x14ac:dyDescent="0.35">
      <c r="A191" s="461">
        <v>142</v>
      </c>
      <c r="B191" s="461" t="s">
        <v>170</v>
      </c>
      <c r="C191" s="441" t="s">
        <v>946</v>
      </c>
      <c r="D191" s="516">
        <v>0</v>
      </c>
      <c r="E191" s="462">
        <v>765000000</v>
      </c>
      <c r="F191" s="462">
        <f t="shared" si="35"/>
        <v>765000000</v>
      </c>
    </row>
    <row r="192" spans="1:6" ht="15" thickBot="1" x14ac:dyDescent="0.35">
      <c r="A192" s="461">
        <v>143</v>
      </c>
      <c r="B192" s="461" t="s">
        <v>171</v>
      </c>
      <c r="C192" s="441" t="s">
        <v>947</v>
      </c>
      <c r="D192" s="516">
        <v>0</v>
      </c>
      <c r="E192" s="462">
        <v>765000000</v>
      </c>
      <c r="F192" s="462">
        <f t="shared" si="35"/>
        <v>765000000</v>
      </c>
    </row>
    <row r="193" spans="1:6" ht="15" thickBot="1" x14ac:dyDescent="0.35">
      <c r="A193" s="461">
        <v>144</v>
      </c>
      <c r="B193" s="461" t="s">
        <v>149</v>
      </c>
      <c r="C193" s="441" t="s">
        <v>948</v>
      </c>
      <c r="D193" s="462">
        <f>'Personnel Detail'!R67</f>
        <v>18214617118.257782</v>
      </c>
      <c r="E193" s="462">
        <v>59500000</v>
      </c>
      <c r="F193" s="462">
        <f t="shared" si="35"/>
        <v>18274117118.257782</v>
      </c>
    </row>
    <row r="194" spans="1:6" ht="15" thickBot="1" x14ac:dyDescent="0.35">
      <c r="A194" s="461">
        <v>145</v>
      </c>
      <c r="B194" s="461" t="s">
        <v>150</v>
      </c>
      <c r="C194" s="441" t="s">
        <v>949</v>
      </c>
      <c r="D194" s="516">
        <v>0</v>
      </c>
      <c r="E194" s="462">
        <v>3600000</v>
      </c>
      <c r="F194" s="462">
        <f t="shared" si="35"/>
        <v>3600000</v>
      </c>
    </row>
    <row r="195" spans="1:6" ht="15" thickBot="1" x14ac:dyDescent="0.35">
      <c r="A195" s="461">
        <v>146</v>
      </c>
      <c r="B195" s="461" t="s">
        <v>151</v>
      </c>
      <c r="C195" s="441" t="s">
        <v>950</v>
      </c>
      <c r="D195" s="516">
        <v>0</v>
      </c>
      <c r="E195" s="462">
        <v>3600000</v>
      </c>
      <c r="F195" s="462">
        <f t="shared" si="35"/>
        <v>3600000</v>
      </c>
    </row>
    <row r="196" spans="1:6" ht="15" thickBot="1" x14ac:dyDescent="0.35">
      <c r="A196" s="461">
        <v>147</v>
      </c>
      <c r="B196" s="461" t="s">
        <v>152</v>
      </c>
      <c r="C196" s="441" t="s">
        <v>951</v>
      </c>
      <c r="D196" s="516">
        <v>0</v>
      </c>
      <c r="E196" s="462">
        <v>3600000</v>
      </c>
      <c r="F196" s="462">
        <f t="shared" si="35"/>
        <v>3600000</v>
      </c>
    </row>
    <row r="197" spans="1:6" ht="15" thickBot="1" x14ac:dyDescent="0.35">
      <c r="A197" s="461">
        <v>148</v>
      </c>
      <c r="B197" s="461" t="s">
        <v>153</v>
      </c>
      <c r="C197" s="441" t="s">
        <v>952</v>
      </c>
      <c r="D197" s="516">
        <v>0</v>
      </c>
      <c r="E197" s="462">
        <v>3600000</v>
      </c>
      <c r="F197" s="462">
        <f t="shared" si="35"/>
        <v>3600000</v>
      </c>
    </row>
    <row r="198" spans="1:6" ht="15" thickBot="1" x14ac:dyDescent="0.35">
      <c r="A198" s="461">
        <v>149</v>
      </c>
      <c r="B198" s="461" t="s">
        <v>154</v>
      </c>
      <c r="C198" s="441" t="s">
        <v>953</v>
      </c>
      <c r="D198" s="516">
        <v>0</v>
      </c>
      <c r="E198" s="462">
        <v>4600000</v>
      </c>
      <c r="F198" s="462">
        <f t="shared" si="35"/>
        <v>4600000</v>
      </c>
    </row>
    <row r="199" spans="1:6" ht="15" thickBot="1" x14ac:dyDescent="0.35">
      <c r="A199" s="461">
        <v>150</v>
      </c>
      <c r="B199" s="461" t="s">
        <v>155</v>
      </c>
      <c r="C199" s="441" t="s">
        <v>954</v>
      </c>
      <c r="D199" s="516">
        <v>0</v>
      </c>
      <c r="E199" s="462">
        <v>3600000</v>
      </c>
      <c r="F199" s="462">
        <f t="shared" si="35"/>
        <v>3600000</v>
      </c>
    </row>
    <row r="200" spans="1:6" ht="15" thickBot="1" x14ac:dyDescent="0.35">
      <c r="A200" s="461">
        <v>151</v>
      </c>
      <c r="B200" s="461" t="s">
        <v>156</v>
      </c>
      <c r="C200" s="441" t="s">
        <v>955</v>
      </c>
      <c r="D200" s="516">
        <v>0</v>
      </c>
      <c r="E200" s="462">
        <v>3600000</v>
      </c>
      <c r="F200" s="462">
        <f t="shared" si="35"/>
        <v>3600000</v>
      </c>
    </row>
    <row r="201" spans="1:6" ht="15" thickBot="1" x14ac:dyDescent="0.35">
      <c r="A201" s="461">
        <v>152</v>
      </c>
      <c r="B201" s="461" t="s">
        <v>157</v>
      </c>
      <c r="C201" s="441" t="s">
        <v>956</v>
      </c>
      <c r="D201" s="516">
        <v>0</v>
      </c>
      <c r="E201" s="462">
        <v>3600000</v>
      </c>
      <c r="F201" s="462">
        <f t="shared" si="35"/>
        <v>3600000</v>
      </c>
    </row>
    <row r="202" spans="1:6" ht="15" thickBot="1" x14ac:dyDescent="0.35">
      <c r="A202" s="461">
        <v>153</v>
      </c>
      <c r="B202" s="461" t="s">
        <v>158</v>
      </c>
      <c r="C202" s="441" t="s">
        <v>957</v>
      </c>
      <c r="D202" s="516">
        <v>0</v>
      </c>
      <c r="E202" s="462">
        <v>3600000</v>
      </c>
      <c r="F202" s="462">
        <f t="shared" si="35"/>
        <v>3600000</v>
      </c>
    </row>
    <row r="203" spans="1:6" ht="15" thickBot="1" x14ac:dyDescent="0.35">
      <c r="A203" s="461">
        <v>154</v>
      </c>
      <c r="B203" s="461" t="s">
        <v>198</v>
      </c>
      <c r="C203" s="441" t="s">
        <v>958</v>
      </c>
      <c r="D203" s="462">
        <f>'Personnel Detail'!R68</f>
        <v>576555419.75111103</v>
      </c>
      <c r="E203" s="462">
        <v>34000000</v>
      </c>
      <c r="F203" s="462">
        <f t="shared" si="35"/>
        <v>610555419.75111103</v>
      </c>
    </row>
    <row r="204" spans="1:6" ht="15" thickBot="1" x14ac:dyDescent="0.35">
      <c r="A204" s="461">
        <v>155</v>
      </c>
      <c r="B204" s="461" t="s">
        <v>159</v>
      </c>
      <c r="C204" s="441" t="s">
        <v>959</v>
      </c>
      <c r="D204" s="462">
        <f>'Personnel Detail'!R59</f>
        <v>33005867.968888883</v>
      </c>
      <c r="E204" s="462">
        <f>210236750+'Details OH Cost'!F1222</f>
        <v>220236750</v>
      </c>
      <c r="F204" s="462">
        <f t="shared" si="35"/>
        <v>253242617.96888888</v>
      </c>
    </row>
    <row r="205" spans="1:6" ht="15" thickBot="1" x14ac:dyDescent="0.35">
      <c r="A205" s="459"/>
      <c r="B205" s="459" t="s">
        <v>960</v>
      </c>
      <c r="C205" s="442" t="s">
        <v>961</v>
      </c>
      <c r="D205" s="521">
        <f t="shared" ref="D205:E205" si="38">SUM(D206:D219)</f>
        <v>11843360663.695562</v>
      </c>
      <c r="E205" s="521">
        <f t="shared" si="38"/>
        <v>2233068850</v>
      </c>
      <c r="F205" s="521">
        <f>SUM(F206:F219)</f>
        <v>14076429513.695562</v>
      </c>
    </row>
    <row r="206" spans="1:6" ht="15" thickBot="1" x14ac:dyDescent="0.35">
      <c r="A206" s="461">
        <v>156</v>
      </c>
      <c r="B206" s="461" t="s">
        <v>41</v>
      </c>
      <c r="C206" s="441" t="s">
        <v>961</v>
      </c>
      <c r="D206" s="462">
        <f>'Personnel Detail'!R28</f>
        <v>776191749.37111092</v>
      </c>
      <c r="E206" s="462">
        <f>227200000-'Pooled Fund OH Cost'!H12</f>
        <v>147200000</v>
      </c>
      <c r="F206" s="462">
        <f t="shared" si="35"/>
        <v>923391749.37111092</v>
      </c>
    </row>
    <row r="207" spans="1:6" ht="15" thickBot="1" x14ac:dyDescent="0.35">
      <c r="A207" s="461">
        <v>157</v>
      </c>
      <c r="B207" s="461" t="s">
        <v>199</v>
      </c>
      <c r="C207" s="441" t="s">
        <v>962</v>
      </c>
      <c r="D207" s="516">
        <v>0</v>
      </c>
      <c r="E207" s="462">
        <v>6000000</v>
      </c>
      <c r="F207" s="462">
        <f t="shared" si="35"/>
        <v>6000000</v>
      </c>
    </row>
    <row r="208" spans="1:6" ht="15" thickBot="1" x14ac:dyDescent="0.35">
      <c r="A208" s="461">
        <v>158</v>
      </c>
      <c r="B208" s="461" t="s">
        <v>202</v>
      </c>
      <c r="C208" s="441" t="s">
        <v>963</v>
      </c>
      <c r="D208" s="516">
        <v>0</v>
      </c>
      <c r="E208" s="462">
        <v>12000000</v>
      </c>
      <c r="F208" s="462">
        <f t="shared" si="35"/>
        <v>12000000</v>
      </c>
    </row>
    <row r="209" spans="1:6" ht="15" thickBot="1" x14ac:dyDescent="0.35">
      <c r="A209" s="461">
        <v>159</v>
      </c>
      <c r="B209" s="461" t="s">
        <v>188</v>
      </c>
      <c r="C209" s="441" t="s">
        <v>964</v>
      </c>
      <c r="D209" s="462">
        <f>'Personnel Detail'!R46</f>
        <v>67098568.304444447</v>
      </c>
      <c r="E209" s="462">
        <v>49500000</v>
      </c>
      <c r="F209" s="462">
        <f t="shared" si="35"/>
        <v>116598568.30444445</v>
      </c>
    </row>
    <row r="210" spans="1:6" ht="15" thickBot="1" x14ac:dyDescent="0.35">
      <c r="A210" s="470">
        <v>160</v>
      </c>
      <c r="B210" s="470" t="s">
        <v>61</v>
      </c>
      <c r="C210" s="471" t="s">
        <v>965</v>
      </c>
      <c r="D210" s="518">
        <f>'Personnel Detail'!R64</f>
        <v>1714214017.2733335</v>
      </c>
      <c r="E210" s="518">
        <f>67580000+'Details OH Cost'!F1255</f>
        <v>107580000</v>
      </c>
      <c r="F210" s="518">
        <f t="shared" si="35"/>
        <v>1821794017.2733335</v>
      </c>
    </row>
    <row r="211" spans="1:6" x14ac:dyDescent="0.3">
      <c r="A211" s="469"/>
      <c r="B211" s="469"/>
      <c r="C211" s="472" t="s">
        <v>1035</v>
      </c>
      <c r="D211" s="520"/>
      <c r="E211" s="520"/>
      <c r="F211" s="520"/>
    </row>
    <row r="212" spans="1:6" ht="15" thickBot="1" x14ac:dyDescent="0.35">
      <c r="A212" s="461">
        <v>161</v>
      </c>
      <c r="B212" s="461" t="s">
        <v>52</v>
      </c>
      <c r="C212" s="441" t="s">
        <v>966</v>
      </c>
      <c r="D212" s="516">
        <v>0</v>
      </c>
      <c r="E212" s="462">
        <v>1750000000</v>
      </c>
      <c r="F212" s="462">
        <f t="shared" si="35"/>
        <v>1750000000</v>
      </c>
    </row>
    <row r="213" spans="1:6" ht="15" thickBot="1" x14ac:dyDescent="0.35">
      <c r="A213" s="461">
        <v>162</v>
      </c>
      <c r="B213" s="461" t="s">
        <v>160</v>
      </c>
      <c r="C213" s="441" t="s">
        <v>967</v>
      </c>
      <c r="D213" s="462">
        <f>'Personnel Detail'!R29</f>
        <v>9285856328.7466736</v>
      </c>
      <c r="E213" s="462">
        <v>39967500</v>
      </c>
      <c r="F213" s="462">
        <f t="shared" si="35"/>
        <v>9325823828.7466736</v>
      </c>
    </row>
    <row r="214" spans="1:6" ht="15" thickBot="1" x14ac:dyDescent="0.35">
      <c r="A214" s="461">
        <v>163</v>
      </c>
      <c r="B214" s="461" t="s">
        <v>968</v>
      </c>
      <c r="C214" s="441" t="s">
        <v>969</v>
      </c>
      <c r="D214" s="516">
        <v>0</v>
      </c>
      <c r="E214" s="462">
        <v>6000000</v>
      </c>
      <c r="F214" s="462">
        <f t="shared" si="35"/>
        <v>6000000</v>
      </c>
    </row>
    <row r="215" spans="1:6" ht="15" thickBot="1" x14ac:dyDescent="0.35">
      <c r="A215" s="461">
        <v>164</v>
      </c>
      <c r="B215" s="461" t="s">
        <v>161</v>
      </c>
      <c r="C215" s="441" t="s">
        <v>970</v>
      </c>
      <c r="D215" s="516">
        <v>0</v>
      </c>
      <c r="E215" s="462">
        <v>3705000</v>
      </c>
      <c r="F215" s="462">
        <f t="shared" si="35"/>
        <v>3705000</v>
      </c>
    </row>
    <row r="216" spans="1:6" ht="15" thickBot="1" x14ac:dyDescent="0.35">
      <c r="A216" s="461">
        <v>165</v>
      </c>
      <c r="B216" s="461" t="s">
        <v>162</v>
      </c>
      <c r="C216" s="441" t="s">
        <v>596</v>
      </c>
      <c r="D216" s="516">
        <v>0</v>
      </c>
      <c r="E216" s="462">
        <f>2850000+'Details OH Cost'!F1279</f>
        <v>5000000</v>
      </c>
      <c r="F216" s="462">
        <f t="shared" si="35"/>
        <v>5000000</v>
      </c>
    </row>
    <row r="217" spans="1:6" ht="15" thickBot="1" x14ac:dyDescent="0.35">
      <c r="A217" s="461">
        <v>166</v>
      </c>
      <c r="B217" s="461" t="s">
        <v>163</v>
      </c>
      <c r="C217" s="441" t="s">
        <v>971</v>
      </c>
      <c r="D217" s="516">
        <v>0</v>
      </c>
      <c r="E217" s="462">
        <v>32719000</v>
      </c>
      <c r="F217" s="462">
        <f t="shared" si="35"/>
        <v>32719000</v>
      </c>
    </row>
    <row r="218" spans="1:6" ht="15" thickBot="1" x14ac:dyDescent="0.35">
      <c r="A218" s="461">
        <v>167</v>
      </c>
      <c r="B218" s="461" t="s">
        <v>164</v>
      </c>
      <c r="C218" s="441" t="s">
        <v>972</v>
      </c>
      <c r="D218" s="516">
        <v>0</v>
      </c>
      <c r="E218" s="462">
        <v>7175350</v>
      </c>
      <c r="F218" s="462">
        <f t="shared" si="35"/>
        <v>7175350</v>
      </c>
    </row>
    <row r="219" spans="1:6" ht="15" thickBot="1" x14ac:dyDescent="0.35">
      <c r="A219" s="461">
        <v>168</v>
      </c>
      <c r="B219" s="461" t="s">
        <v>179</v>
      </c>
      <c r="C219" s="441" t="s">
        <v>973</v>
      </c>
      <c r="D219" s="516">
        <v>0</v>
      </c>
      <c r="E219" s="462">
        <v>66222000</v>
      </c>
      <c r="F219" s="462">
        <f t="shared" si="35"/>
        <v>66222000</v>
      </c>
    </row>
    <row r="220" spans="1:6" ht="15" thickBot="1" x14ac:dyDescent="0.35">
      <c r="A220" s="459"/>
      <c r="B220" s="459" t="s">
        <v>974</v>
      </c>
      <c r="C220" s="442" t="s">
        <v>302</v>
      </c>
      <c r="D220" s="521">
        <f t="shared" ref="D220:E220" si="39">SUM(D221:D224)</f>
        <v>416369041.80666667</v>
      </c>
      <c r="E220" s="521">
        <f t="shared" si="39"/>
        <v>183845500</v>
      </c>
      <c r="F220" s="521">
        <f>SUM(F221:F224)</f>
        <v>600214541.80666661</v>
      </c>
    </row>
    <row r="221" spans="1:6" ht="15" thickBot="1" x14ac:dyDescent="0.35">
      <c r="A221" s="461">
        <v>169</v>
      </c>
      <c r="B221" s="461" t="s">
        <v>64</v>
      </c>
      <c r="C221" s="441" t="s">
        <v>302</v>
      </c>
      <c r="D221" s="462">
        <f>'Personnel Detail'!R21</f>
        <v>145227406.30222222</v>
      </c>
      <c r="E221" s="462">
        <f>63585000+'Details OH Cost'!F1319</f>
        <v>71585000</v>
      </c>
      <c r="F221" s="462">
        <f t="shared" si="35"/>
        <v>216812406.30222222</v>
      </c>
    </row>
    <row r="222" spans="1:6" ht="15" thickBot="1" x14ac:dyDescent="0.35">
      <c r="A222" s="461">
        <v>170</v>
      </c>
      <c r="B222" s="461" t="s">
        <v>165</v>
      </c>
      <c r="C222" s="441" t="s">
        <v>975</v>
      </c>
      <c r="D222" s="462">
        <f>'Personnel Detail'!R22</f>
        <v>37453641.213333331</v>
      </c>
      <c r="E222" s="462">
        <v>8645000</v>
      </c>
      <c r="F222" s="462">
        <f t="shared" si="35"/>
        <v>46098641.213333331</v>
      </c>
    </row>
    <row r="223" spans="1:6" ht="15" thickBot="1" x14ac:dyDescent="0.35">
      <c r="A223" s="466" t="s">
        <v>1014</v>
      </c>
      <c r="B223" s="463" t="s">
        <v>515</v>
      </c>
      <c r="C223" s="441" t="s">
        <v>612</v>
      </c>
      <c r="D223" s="516">
        <v>0</v>
      </c>
      <c r="E223" s="462">
        <f>'Details OH Cost'!F1347</f>
        <v>30615000</v>
      </c>
      <c r="F223" s="462">
        <f t="shared" si="35"/>
        <v>30615000</v>
      </c>
    </row>
    <row r="224" spans="1:6" ht="15" thickBot="1" x14ac:dyDescent="0.35">
      <c r="A224" s="461">
        <v>172</v>
      </c>
      <c r="B224" s="461" t="s">
        <v>55</v>
      </c>
      <c r="C224" s="441" t="s">
        <v>976</v>
      </c>
      <c r="D224" s="462">
        <f>'Personnel Detail'!R70</f>
        <v>233687994.29111111</v>
      </c>
      <c r="E224" s="462">
        <f>63000500+'Details OH Cost'!F1399</f>
        <v>73000500</v>
      </c>
      <c r="F224" s="462">
        <f t="shared" si="35"/>
        <v>306688494.29111111</v>
      </c>
    </row>
    <row r="225" spans="1:6" ht="15" thickBot="1" x14ac:dyDescent="0.35">
      <c r="A225" s="459"/>
      <c r="B225" s="459" t="s">
        <v>977</v>
      </c>
      <c r="C225" s="442" t="s">
        <v>978</v>
      </c>
      <c r="D225" s="521">
        <f t="shared" ref="D225:E225" si="40">SUM(D226:D227)</f>
        <v>355598036.26666665</v>
      </c>
      <c r="E225" s="521">
        <f t="shared" si="40"/>
        <v>230069000</v>
      </c>
      <c r="F225" s="521">
        <f>SUM(F226:F227)</f>
        <v>585667036.26666665</v>
      </c>
    </row>
    <row r="226" spans="1:6" ht="15" thickBot="1" x14ac:dyDescent="0.35">
      <c r="A226" s="461">
        <v>173</v>
      </c>
      <c r="B226" s="461" t="s">
        <v>56</v>
      </c>
      <c r="C226" s="441" t="s">
        <v>978</v>
      </c>
      <c r="D226" s="462">
        <f>'Personnel Detail'!R61</f>
        <v>355598036.26666665</v>
      </c>
      <c r="E226" s="462">
        <v>185569000</v>
      </c>
      <c r="F226" s="462">
        <f t="shared" si="35"/>
        <v>541167036.26666665</v>
      </c>
    </row>
    <row r="227" spans="1:6" ht="15" thickBot="1" x14ac:dyDescent="0.35">
      <c r="A227" s="461">
        <v>174</v>
      </c>
      <c r="B227" s="461" t="s">
        <v>979</v>
      </c>
      <c r="C227" s="441" t="s">
        <v>980</v>
      </c>
      <c r="D227" s="516">
        <v>0</v>
      </c>
      <c r="E227" s="462">
        <v>44500000</v>
      </c>
      <c r="F227" s="462">
        <f t="shared" si="35"/>
        <v>44500000</v>
      </c>
    </row>
    <row r="228" spans="1:6" ht="15" thickBot="1" x14ac:dyDescent="0.35">
      <c r="A228" s="459"/>
      <c r="B228" s="459" t="s">
        <v>981</v>
      </c>
      <c r="C228" s="442" t="s">
        <v>982</v>
      </c>
      <c r="D228" s="521">
        <f t="shared" ref="D228:E228" si="41">SUM(D229:D230)</f>
        <v>76144813.562222227</v>
      </c>
      <c r="E228" s="521">
        <f t="shared" si="41"/>
        <v>53000000</v>
      </c>
      <c r="F228" s="521">
        <f>SUM(F229:F230)</f>
        <v>129144813.56222223</v>
      </c>
    </row>
    <row r="229" spans="1:6" ht="15" thickBot="1" x14ac:dyDescent="0.35">
      <c r="A229" s="461">
        <v>175</v>
      </c>
      <c r="B229" s="461" t="s">
        <v>589</v>
      </c>
      <c r="C229" s="441" t="s">
        <v>983</v>
      </c>
      <c r="D229" s="521">
        <f>'Personnel Detail'!R15</f>
        <v>76144813.562222227</v>
      </c>
      <c r="E229" s="462">
        <v>25000000</v>
      </c>
      <c r="F229" s="462">
        <f t="shared" si="35"/>
        <v>101144813.56222223</v>
      </c>
    </row>
    <row r="230" spans="1:6" ht="15" thickBot="1" x14ac:dyDescent="0.35">
      <c r="A230" s="461">
        <v>176</v>
      </c>
      <c r="B230" s="461" t="s">
        <v>590</v>
      </c>
      <c r="C230" s="441" t="s">
        <v>984</v>
      </c>
      <c r="D230" s="516">
        <v>0</v>
      </c>
      <c r="E230" s="462">
        <v>28000000</v>
      </c>
      <c r="F230" s="462">
        <f t="shared" si="35"/>
        <v>28000000</v>
      </c>
    </row>
    <row r="231" spans="1:6" ht="15" thickBot="1" x14ac:dyDescent="0.35">
      <c r="A231" s="459"/>
      <c r="B231" s="459" t="s">
        <v>985</v>
      </c>
      <c r="C231" s="442" t="s">
        <v>324</v>
      </c>
      <c r="D231" s="521">
        <f t="shared" ref="D231:E231" si="42">SUM(D232:D232)</f>
        <v>65225809.444444448</v>
      </c>
      <c r="E231" s="521">
        <f t="shared" si="42"/>
        <v>2598506000</v>
      </c>
      <c r="F231" s="521">
        <f>SUM(F232:F232)</f>
        <v>2663731809.4444447</v>
      </c>
    </row>
    <row r="232" spans="1:6" ht="15" thickBot="1" x14ac:dyDescent="0.35">
      <c r="A232" s="461">
        <v>177</v>
      </c>
      <c r="B232" s="461" t="s">
        <v>591</v>
      </c>
      <c r="C232" s="441" t="s">
        <v>324</v>
      </c>
      <c r="D232" s="521">
        <f>'Personnel Detail'!R12</f>
        <v>65225809.444444448</v>
      </c>
      <c r="E232" s="462">
        <f>2593506000+'Details OH Cost'!F1454</f>
        <v>2598506000</v>
      </c>
      <c r="F232" s="462">
        <f t="shared" si="35"/>
        <v>2663731809.4444447</v>
      </c>
    </row>
  </sheetData>
  <mergeCells count="4">
    <mergeCell ref="B1:F1"/>
    <mergeCell ref="B2:F2"/>
    <mergeCell ref="B3:F3"/>
    <mergeCell ref="B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32"/>
  <sheetViews>
    <sheetView tabSelected="1" topLeftCell="A212" zoomScaleNormal="100" workbookViewId="0">
      <selection activeCell="J228" sqref="A1:XFD1048576"/>
    </sheetView>
  </sheetViews>
  <sheetFormatPr defaultRowHeight="14.4" x14ac:dyDescent="0.3"/>
  <cols>
    <col min="1" max="1" width="4.109375" customWidth="1"/>
    <col min="2" max="2" width="17.88671875" customWidth="1"/>
    <col min="3" max="3" width="56.44140625" customWidth="1"/>
    <col min="4" max="4" width="22.109375" customWidth="1"/>
    <col min="5" max="5" width="22.33203125" customWidth="1"/>
    <col min="8" max="8" width="19.6640625" bestFit="1" customWidth="1"/>
  </cols>
  <sheetData>
    <row r="1" spans="1:8" x14ac:dyDescent="0.3">
      <c r="A1" s="590" t="s">
        <v>1006</v>
      </c>
      <c r="B1" s="590"/>
      <c r="C1" s="590"/>
      <c r="D1" s="590"/>
      <c r="E1" s="590"/>
    </row>
    <row r="2" spans="1:8" x14ac:dyDescent="0.3">
      <c r="A2" s="591" t="s">
        <v>1166</v>
      </c>
      <c r="B2" s="591"/>
      <c r="C2" s="591"/>
      <c r="D2" s="591"/>
      <c r="E2" s="591"/>
    </row>
    <row r="3" spans="1:8" x14ac:dyDescent="0.3">
      <c r="A3" s="591" t="s">
        <v>1007</v>
      </c>
      <c r="B3" s="591"/>
      <c r="C3" s="591"/>
      <c r="D3" s="591"/>
      <c r="E3" s="591"/>
    </row>
    <row r="5" spans="1:8" ht="15" thickBot="1" x14ac:dyDescent="0.35">
      <c r="A5" s="585" t="s">
        <v>1034</v>
      </c>
      <c r="B5" s="585"/>
      <c r="C5" s="585"/>
      <c r="D5" s="585"/>
      <c r="E5" s="585"/>
    </row>
    <row r="6" spans="1:8" ht="27" thickBot="1" x14ac:dyDescent="0.35">
      <c r="A6" s="465" t="s">
        <v>0</v>
      </c>
      <c r="B6" s="465" t="s">
        <v>1009</v>
      </c>
      <c r="C6" s="464" t="s">
        <v>1010</v>
      </c>
      <c r="D6" s="464" t="s">
        <v>1021</v>
      </c>
      <c r="E6" s="464" t="s">
        <v>1165</v>
      </c>
    </row>
    <row r="7" spans="1:8" ht="21.9" customHeight="1" thickBot="1" x14ac:dyDescent="0.35">
      <c r="A7" s="453"/>
      <c r="B7" s="453"/>
      <c r="C7" s="454" t="s">
        <v>789</v>
      </c>
      <c r="D7" s="455">
        <f>D8+D78+D153+D166+D170</f>
        <v>77713742989</v>
      </c>
      <c r="E7" s="455">
        <f>D7</f>
        <v>77713742989</v>
      </c>
      <c r="H7" s="4"/>
    </row>
    <row r="8" spans="1:8" ht="15" thickBot="1" x14ac:dyDescent="0.35">
      <c r="A8" s="456"/>
      <c r="B8" s="456" t="s">
        <v>790</v>
      </c>
      <c r="C8" s="457" t="s">
        <v>791</v>
      </c>
      <c r="D8" s="458">
        <f>D9+D34+D39+D46+D52+D57+D68+D71+D73+D76</f>
        <v>7388174250</v>
      </c>
      <c r="E8" s="458">
        <f>D8</f>
        <v>7388174250</v>
      </c>
    </row>
    <row r="9" spans="1:8" ht="15" thickBot="1" x14ac:dyDescent="0.35">
      <c r="A9" s="459"/>
      <c r="B9" s="459" t="s">
        <v>792</v>
      </c>
      <c r="C9" s="442" t="s">
        <v>793</v>
      </c>
      <c r="D9" s="460">
        <f>SUM(D10:D33)</f>
        <v>1751094000</v>
      </c>
      <c r="E9" s="460">
        <f>D9</f>
        <v>1751094000</v>
      </c>
      <c r="H9" s="8"/>
    </row>
    <row r="10" spans="1:8" ht="15" thickBot="1" x14ac:dyDescent="0.35">
      <c r="A10" s="461">
        <v>1</v>
      </c>
      <c r="B10" s="461" t="s">
        <v>70</v>
      </c>
      <c r="C10" s="441" t="s">
        <v>311</v>
      </c>
      <c r="D10" s="462">
        <f>80000000+'Project detail capital'!F8</f>
        <v>105000000</v>
      </c>
      <c r="E10" s="462">
        <f>D10</f>
        <v>105000000</v>
      </c>
      <c r="H10" s="3"/>
    </row>
    <row r="11" spans="1:8" ht="15" thickBot="1" x14ac:dyDescent="0.35">
      <c r="A11" s="461">
        <v>2</v>
      </c>
      <c r="B11" s="461" t="s">
        <v>71</v>
      </c>
      <c r="C11" s="441" t="s">
        <v>794</v>
      </c>
      <c r="D11" s="462">
        <f>22000000+'Project detail capital'!F14</f>
        <v>47665000</v>
      </c>
      <c r="E11" s="462">
        <f t="shared" ref="E11:E38" si="0">D11</f>
        <v>47665000</v>
      </c>
      <c r="H11" s="8"/>
    </row>
    <row r="12" spans="1:8" ht="15" thickBot="1" x14ac:dyDescent="0.35">
      <c r="A12" s="461">
        <v>3</v>
      </c>
      <c r="B12" s="461" t="s">
        <v>72</v>
      </c>
      <c r="C12" s="441" t="s">
        <v>795</v>
      </c>
      <c r="D12" s="529" t="s">
        <v>986</v>
      </c>
      <c r="E12" s="462" t="str">
        <f t="shared" si="0"/>
        <v xml:space="preserve">                                    -   </v>
      </c>
    </row>
    <row r="13" spans="1:8" ht="15" thickBot="1" x14ac:dyDescent="0.35">
      <c r="A13" s="461">
        <v>4</v>
      </c>
      <c r="B13" s="461" t="s">
        <v>73</v>
      </c>
      <c r="C13" s="441" t="s">
        <v>796</v>
      </c>
      <c r="D13" s="529" t="s">
        <v>986</v>
      </c>
      <c r="E13" s="462" t="str">
        <f t="shared" si="0"/>
        <v xml:space="preserve">                                    -   </v>
      </c>
      <c r="H13" s="491"/>
    </row>
    <row r="14" spans="1:8" ht="15" thickBot="1" x14ac:dyDescent="0.35">
      <c r="A14" s="461">
        <v>5</v>
      </c>
      <c r="B14" s="461" t="s">
        <v>560</v>
      </c>
      <c r="C14" s="441" t="s">
        <v>797</v>
      </c>
      <c r="D14" s="529" t="s">
        <v>986</v>
      </c>
      <c r="E14" s="462" t="str">
        <f t="shared" si="0"/>
        <v xml:space="preserve">                                    -   </v>
      </c>
      <c r="H14" s="8"/>
    </row>
    <row r="15" spans="1:8" ht="15" thickBot="1" x14ac:dyDescent="0.35">
      <c r="A15" s="461">
        <v>6</v>
      </c>
      <c r="B15" s="461" t="s">
        <v>561</v>
      </c>
      <c r="C15" s="441" t="s">
        <v>798</v>
      </c>
      <c r="D15" s="529" t="s">
        <v>986</v>
      </c>
      <c r="E15" s="462" t="str">
        <f t="shared" si="0"/>
        <v xml:space="preserve">                                    -   </v>
      </c>
    </row>
    <row r="16" spans="1:8" ht="15" thickBot="1" x14ac:dyDescent="0.35">
      <c r="A16" s="461">
        <v>7</v>
      </c>
      <c r="B16" s="463" t="s">
        <v>527</v>
      </c>
      <c r="C16" s="474" t="s">
        <v>534</v>
      </c>
      <c r="D16" s="516">
        <f>'Project detail capital'!F18</f>
        <v>998000</v>
      </c>
      <c r="E16" s="516">
        <f t="shared" si="0"/>
        <v>998000</v>
      </c>
    </row>
    <row r="17" spans="1:8" ht="15" thickBot="1" x14ac:dyDescent="0.35">
      <c r="A17" s="461">
        <v>8</v>
      </c>
      <c r="B17" s="461" t="s">
        <v>74</v>
      </c>
      <c r="C17" s="441" t="s">
        <v>562</v>
      </c>
      <c r="D17" s="462">
        <v>3600000</v>
      </c>
      <c r="E17" s="462">
        <f t="shared" si="0"/>
        <v>3600000</v>
      </c>
    </row>
    <row r="18" spans="1:8" ht="15" thickBot="1" x14ac:dyDescent="0.35">
      <c r="A18" s="461">
        <v>9</v>
      </c>
      <c r="B18" s="461" t="s">
        <v>166</v>
      </c>
      <c r="C18" s="441" t="s">
        <v>799</v>
      </c>
      <c r="D18" s="462">
        <v>150000000</v>
      </c>
      <c r="E18" s="462">
        <f t="shared" si="0"/>
        <v>150000000</v>
      </c>
      <c r="H18" s="491"/>
    </row>
    <row r="19" spans="1:8" ht="15" thickBot="1" x14ac:dyDescent="0.35">
      <c r="A19" s="461">
        <v>10</v>
      </c>
      <c r="B19" s="461" t="s">
        <v>244</v>
      </c>
      <c r="C19" s="441" t="s">
        <v>1005</v>
      </c>
      <c r="D19" s="462">
        <f>308000000-'Pooled Fund detail Capital'!H72+'Project detail capital'!F40</f>
        <v>308000000</v>
      </c>
      <c r="E19" s="462">
        <f t="shared" si="0"/>
        <v>308000000</v>
      </c>
    </row>
    <row r="20" spans="1:8" ht="15" thickBot="1" x14ac:dyDescent="0.35">
      <c r="A20" s="461">
        <v>11</v>
      </c>
      <c r="B20" s="461" t="s">
        <v>76</v>
      </c>
      <c r="C20" s="441" t="s">
        <v>801</v>
      </c>
      <c r="D20" s="529" t="s">
        <v>986</v>
      </c>
      <c r="E20" s="462" t="str">
        <f t="shared" si="0"/>
        <v xml:space="preserve">                                    -   </v>
      </c>
    </row>
    <row r="21" spans="1:8" ht="15" thickBot="1" x14ac:dyDescent="0.35">
      <c r="A21" s="461">
        <v>12</v>
      </c>
      <c r="B21" s="461" t="s">
        <v>77</v>
      </c>
      <c r="C21" s="441" t="s">
        <v>419</v>
      </c>
      <c r="D21" s="462">
        <v>11000000</v>
      </c>
      <c r="E21" s="462">
        <f t="shared" si="0"/>
        <v>11000000</v>
      </c>
    </row>
    <row r="22" spans="1:8" ht="15" thickBot="1" x14ac:dyDescent="0.35">
      <c r="A22" s="461">
        <v>13</v>
      </c>
      <c r="B22" s="461" t="s">
        <v>78</v>
      </c>
      <c r="C22" s="441" t="s">
        <v>802</v>
      </c>
      <c r="D22" s="462">
        <v>13000000</v>
      </c>
      <c r="E22" s="462">
        <f t="shared" si="0"/>
        <v>13000000</v>
      </c>
    </row>
    <row r="23" spans="1:8" ht="15" thickBot="1" x14ac:dyDescent="0.35">
      <c r="A23" s="461">
        <v>14</v>
      </c>
      <c r="B23" s="461" t="s">
        <v>79</v>
      </c>
      <c r="C23" s="441" t="s">
        <v>803</v>
      </c>
      <c r="D23" s="462">
        <v>10000000</v>
      </c>
      <c r="E23" s="462">
        <f t="shared" si="0"/>
        <v>10000000</v>
      </c>
    </row>
    <row r="24" spans="1:8" ht="15" thickBot="1" x14ac:dyDescent="0.35">
      <c r="A24" s="461">
        <v>15</v>
      </c>
      <c r="B24" s="461" t="s">
        <v>80</v>
      </c>
      <c r="C24" s="441" t="s">
        <v>804</v>
      </c>
      <c r="D24" s="462">
        <v>12000000</v>
      </c>
      <c r="E24" s="462">
        <f t="shared" si="0"/>
        <v>12000000</v>
      </c>
    </row>
    <row r="25" spans="1:8" ht="15" thickBot="1" x14ac:dyDescent="0.35">
      <c r="A25" s="461">
        <v>16</v>
      </c>
      <c r="B25" s="461" t="s">
        <v>81</v>
      </c>
      <c r="C25" s="441" t="s">
        <v>805</v>
      </c>
      <c r="D25" s="462">
        <v>12000000</v>
      </c>
      <c r="E25" s="462">
        <f t="shared" si="0"/>
        <v>12000000</v>
      </c>
    </row>
    <row r="26" spans="1:8" ht="15" thickBot="1" x14ac:dyDescent="0.35">
      <c r="A26" s="461">
        <v>17</v>
      </c>
      <c r="B26" s="461" t="s">
        <v>82</v>
      </c>
      <c r="C26" s="441" t="s">
        <v>806</v>
      </c>
      <c r="D26" s="529" t="s">
        <v>986</v>
      </c>
      <c r="E26" s="462" t="str">
        <f t="shared" si="0"/>
        <v xml:space="preserve">                                    -   </v>
      </c>
    </row>
    <row r="27" spans="1:8" ht="15" thickBot="1" x14ac:dyDescent="0.35">
      <c r="A27" s="461">
        <v>18</v>
      </c>
      <c r="B27" s="461" t="s">
        <v>172</v>
      </c>
      <c r="C27" s="441" t="s">
        <v>535</v>
      </c>
      <c r="D27" s="462">
        <v>4000000</v>
      </c>
      <c r="E27" s="462">
        <f t="shared" si="0"/>
        <v>4000000</v>
      </c>
    </row>
    <row r="28" spans="1:8" ht="15" thickBot="1" x14ac:dyDescent="0.35">
      <c r="A28" s="461">
        <v>19</v>
      </c>
      <c r="B28" s="461" t="s">
        <v>563</v>
      </c>
      <c r="C28" s="441" t="s">
        <v>807</v>
      </c>
      <c r="D28" s="529" t="s">
        <v>986</v>
      </c>
      <c r="E28" s="462" t="str">
        <f t="shared" si="0"/>
        <v xml:space="preserve">                                    -   </v>
      </c>
    </row>
    <row r="29" spans="1:8" ht="15" thickBot="1" x14ac:dyDescent="0.35">
      <c r="A29" s="461">
        <v>20</v>
      </c>
      <c r="B29" s="461" t="s">
        <v>564</v>
      </c>
      <c r="C29" s="441" t="s">
        <v>808</v>
      </c>
      <c r="D29" s="529" t="s">
        <v>986</v>
      </c>
      <c r="E29" s="462" t="str">
        <f t="shared" si="0"/>
        <v xml:space="preserve">                                    -   </v>
      </c>
    </row>
    <row r="30" spans="1:8" ht="15" thickBot="1" x14ac:dyDescent="0.35">
      <c r="A30" s="470">
        <v>21</v>
      </c>
      <c r="B30" s="470" t="s">
        <v>565</v>
      </c>
      <c r="C30" s="471" t="s">
        <v>987</v>
      </c>
      <c r="D30" s="530" t="s">
        <v>986</v>
      </c>
      <c r="E30" s="518" t="str">
        <f t="shared" si="0"/>
        <v xml:space="preserve">                                    -   </v>
      </c>
    </row>
    <row r="31" spans="1:8" x14ac:dyDescent="0.3">
      <c r="A31" s="469"/>
      <c r="B31" s="469"/>
      <c r="C31" s="472" t="s">
        <v>1036</v>
      </c>
      <c r="D31" s="531"/>
      <c r="E31" s="520"/>
    </row>
    <row r="32" spans="1:8" ht="15" thickBot="1" x14ac:dyDescent="0.35">
      <c r="A32" s="461">
        <v>22</v>
      </c>
      <c r="B32" s="461" t="s">
        <v>566</v>
      </c>
      <c r="C32" s="441" t="s">
        <v>809</v>
      </c>
      <c r="D32" s="529" t="s">
        <v>986</v>
      </c>
      <c r="E32" s="462" t="str">
        <f t="shared" si="0"/>
        <v xml:space="preserve">                                    -   </v>
      </c>
    </row>
    <row r="33" spans="1:5" ht="15" thickBot="1" x14ac:dyDescent="0.35">
      <c r="A33" s="470">
        <v>23</v>
      </c>
      <c r="B33" s="461" t="s">
        <v>83</v>
      </c>
      <c r="C33" s="441" t="s">
        <v>615</v>
      </c>
      <c r="D33" s="462">
        <f>1573831000-'Pooled Fund detail Capital'!H80+'Project detail capital'!F45</f>
        <v>1073831000</v>
      </c>
      <c r="E33" s="462">
        <f t="shared" si="0"/>
        <v>1073831000</v>
      </c>
    </row>
    <row r="34" spans="1:5" ht="15" thickBot="1" x14ac:dyDescent="0.35">
      <c r="A34" s="459"/>
      <c r="B34" s="459" t="s">
        <v>810</v>
      </c>
      <c r="C34" s="442" t="s">
        <v>811</v>
      </c>
      <c r="D34" s="521">
        <f>SUM(D35:D38)</f>
        <v>2705005420</v>
      </c>
      <c r="E34" s="521">
        <f>D34</f>
        <v>2705005420</v>
      </c>
    </row>
    <row r="35" spans="1:5" ht="15" thickBot="1" x14ac:dyDescent="0.35">
      <c r="A35" s="461">
        <v>24</v>
      </c>
      <c r="B35" s="461" t="s">
        <v>567</v>
      </c>
      <c r="C35" s="441" t="s">
        <v>811</v>
      </c>
      <c r="D35" s="529" t="s">
        <v>986</v>
      </c>
      <c r="E35" s="462" t="str">
        <f t="shared" si="0"/>
        <v xml:space="preserve">                                    -   </v>
      </c>
    </row>
    <row r="36" spans="1:5" ht="15" thickBot="1" x14ac:dyDescent="0.35">
      <c r="A36" s="461">
        <v>25</v>
      </c>
      <c r="B36" s="461" t="s">
        <v>412</v>
      </c>
      <c r="C36" s="441" t="s">
        <v>409</v>
      </c>
      <c r="D36" s="462">
        <f>700000000+'Project detail capital'!F54</f>
        <v>2645005420</v>
      </c>
      <c r="E36" s="462">
        <f t="shared" si="0"/>
        <v>2645005420</v>
      </c>
    </row>
    <row r="37" spans="1:5" ht="15" thickBot="1" x14ac:dyDescent="0.35">
      <c r="A37" s="461">
        <v>26</v>
      </c>
      <c r="B37" s="461" t="s">
        <v>568</v>
      </c>
      <c r="C37" s="441" t="s">
        <v>812</v>
      </c>
      <c r="D37" s="462">
        <v>10000000</v>
      </c>
      <c r="E37" s="462">
        <f t="shared" si="0"/>
        <v>10000000</v>
      </c>
    </row>
    <row r="38" spans="1:5" ht="15" thickBot="1" x14ac:dyDescent="0.35">
      <c r="A38" s="461">
        <v>27</v>
      </c>
      <c r="B38" s="461" t="s">
        <v>569</v>
      </c>
      <c r="C38" s="441" t="s">
        <v>813</v>
      </c>
      <c r="D38" s="462">
        <v>50000000</v>
      </c>
      <c r="E38" s="462">
        <f t="shared" si="0"/>
        <v>50000000</v>
      </c>
    </row>
    <row r="39" spans="1:5" ht="15" thickBot="1" x14ac:dyDescent="0.35">
      <c r="A39" s="459"/>
      <c r="B39" s="459" t="s">
        <v>814</v>
      </c>
      <c r="C39" s="442" t="s">
        <v>815</v>
      </c>
      <c r="D39" s="521">
        <f>SUM(D40:D45)</f>
        <v>1102000000</v>
      </c>
      <c r="E39" s="521">
        <f>D39</f>
        <v>1102000000</v>
      </c>
    </row>
    <row r="40" spans="1:5" ht="15" thickBot="1" x14ac:dyDescent="0.35">
      <c r="A40" s="461">
        <v>28</v>
      </c>
      <c r="B40" s="461" t="s">
        <v>84</v>
      </c>
      <c r="C40" s="441" t="s">
        <v>815</v>
      </c>
      <c r="D40" s="462">
        <v>1000000000</v>
      </c>
      <c r="E40" s="462">
        <f>D40</f>
        <v>1000000000</v>
      </c>
    </row>
    <row r="41" spans="1:5" ht="15" thickBot="1" x14ac:dyDescent="0.35">
      <c r="A41" s="461">
        <v>29</v>
      </c>
      <c r="B41" s="461" t="s">
        <v>85</v>
      </c>
      <c r="C41" s="441" t="s">
        <v>816</v>
      </c>
      <c r="D41" s="462">
        <v>102000000</v>
      </c>
      <c r="E41" s="462">
        <f t="shared" ref="E41:E45" si="1">D41</f>
        <v>102000000</v>
      </c>
    </row>
    <row r="42" spans="1:5" ht="15" thickBot="1" x14ac:dyDescent="0.35">
      <c r="A42" s="461">
        <v>30</v>
      </c>
      <c r="B42" s="461" t="s">
        <v>570</v>
      </c>
      <c r="C42" s="441" t="s">
        <v>817</v>
      </c>
      <c r="D42" s="529" t="s">
        <v>986</v>
      </c>
      <c r="E42" s="462" t="str">
        <f t="shared" si="1"/>
        <v xml:space="preserve">                                    -   </v>
      </c>
    </row>
    <row r="43" spans="1:5" ht="15" thickBot="1" x14ac:dyDescent="0.35">
      <c r="A43" s="461">
        <v>31</v>
      </c>
      <c r="B43" s="461" t="s">
        <v>86</v>
      </c>
      <c r="C43" s="441" t="s">
        <v>818</v>
      </c>
      <c r="D43" s="529" t="s">
        <v>986</v>
      </c>
      <c r="E43" s="462" t="str">
        <f t="shared" si="1"/>
        <v xml:space="preserve">                                    -   </v>
      </c>
    </row>
    <row r="44" spans="1:5" ht="15" thickBot="1" x14ac:dyDescent="0.35">
      <c r="A44" s="461">
        <v>32</v>
      </c>
      <c r="B44" s="461" t="s">
        <v>87</v>
      </c>
      <c r="C44" s="441" t="s">
        <v>819</v>
      </c>
      <c r="D44" s="529" t="s">
        <v>986</v>
      </c>
      <c r="E44" s="462" t="str">
        <f t="shared" si="1"/>
        <v xml:space="preserve">                                    -   </v>
      </c>
    </row>
    <row r="45" spans="1:5" ht="15" thickBot="1" x14ac:dyDescent="0.35">
      <c r="A45" s="461">
        <v>33</v>
      </c>
      <c r="B45" s="461" t="s">
        <v>88</v>
      </c>
      <c r="C45" s="441" t="s">
        <v>820</v>
      </c>
      <c r="D45" s="529" t="s">
        <v>986</v>
      </c>
      <c r="E45" s="462" t="str">
        <f t="shared" si="1"/>
        <v xml:space="preserve">                                    -   </v>
      </c>
    </row>
    <row r="46" spans="1:5" ht="15" thickBot="1" x14ac:dyDescent="0.35">
      <c r="A46" s="459"/>
      <c r="B46" s="459" t="s">
        <v>821</v>
      </c>
      <c r="C46" s="442" t="s">
        <v>822</v>
      </c>
      <c r="D46" s="521">
        <f>SUM(D47:D51)</f>
        <v>439500000</v>
      </c>
      <c r="E46" s="521">
        <f>D46</f>
        <v>439500000</v>
      </c>
    </row>
    <row r="47" spans="1:5" ht="15" thickBot="1" x14ac:dyDescent="0.35">
      <c r="A47" s="461">
        <v>34</v>
      </c>
      <c r="B47" s="461" t="s">
        <v>89</v>
      </c>
      <c r="C47" s="441" t="s">
        <v>822</v>
      </c>
      <c r="D47" s="462">
        <v>19000000</v>
      </c>
      <c r="E47" s="462">
        <f>D47</f>
        <v>19000000</v>
      </c>
    </row>
    <row r="48" spans="1:5" ht="15" thickBot="1" x14ac:dyDescent="0.35">
      <c r="A48" s="461">
        <v>35</v>
      </c>
      <c r="B48" s="461" t="s">
        <v>90</v>
      </c>
      <c r="C48" s="441" t="s">
        <v>823</v>
      </c>
      <c r="D48" s="462">
        <v>300000000</v>
      </c>
      <c r="E48" s="462">
        <f t="shared" ref="E48:E51" si="2">D48</f>
        <v>300000000</v>
      </c>
    </row>
    <row r="49" spans="1:5" ht="15" thickBot="1" x14ac:dyDescent="0.35">
      <c r="A49" s="461">
        <v>36</v>
      </c>
      <c r="B49" s="461" t="s">
        <v>91</v>
      </c>
      <c r="C49" s="441" t="s">
        <v>297</v>
      </c>
      <c r="D49" s="462">
        <v>22500000</v>
      </c>
      <c r="E49" s="462">
        <f t="shared" si="2"/>
        <v>22500000</v>
      </c>
    </row>
    <row r="50" spans="1:5" ht="15" thickBot="1" x14ac:dyDescent="0.35">
      <c r="A50" s="461">
        <v>37</v>
      </c>
      <c r="B50" s="461" t="s">
        <v>167</v>
      </c>
      <c r="C50" s="441" t="s">
        <v>571</v>
      </c>
      <c r="D50" s="462">
        <v>22000000</v>
      </c>
      <c r="E50" s="462">
        <f t="shared" si="2"/>
        <v>22000000</v>
      </c>
    </row>
    <row r="51" spans="1:5" ht="15" thickBot="1" x14ac:dyDescent="0.35">
      <c r="A51" s="461">
        <v>40</v>
      </c>
      <c r="B51" s="461" t="s">
        <v>92</v>
      </c>
      <c r="C51" s="441" t="s">
        <v>824</v>
      </c>
      <c r="D51" s="462">
        <v>76000000</v>
      </c>
      <c r="E51" s="462">
        <f t="shared" si="2"/>
        <v>76000000</v>
      </c>
    </row>
    <row r="52" spans="1:5" ht="15" thickBot="1" x14ac:dyDescent="0.35">
      <c r="A52" s="459"/>
      <c r="B52" s="459" t="s">
        <v>825</v>
      </c>
      <c r="C52" s="442" t="s">
        <v>826</v>
      </c>
      <c r="D52" s="521">
        <f>SUM(D53:D56)</f>
        <v>1272274830</v>
      </c>
      <c r="E52" s="521">
        <f t="shared" ref="E52:E57" si="3">D52</f>
        <v>1272274830</v>
      </c>
    </row>
    <row r="53" spans="1:5" ht="15" thickBot="1" x14ac:dyDescent="0.35">
      <c r="A53" s="461">
        <v>41</v>
      </c>
      <c r="B53" s="461" t="s">
        <v>827</v>
      </c>
      <c r="C53" s="441" t="s">
        <v>828</v>
      </c>
      <c r="D53" s="529" t="s">
        <v>986</v>
      </c>
      <c r="E53" s="462" t="str">
        <f t="shared" si="3"/>
        <v xml:space="preserve">                                    -   </v>
      </c>
    </row>
    <row r="54" spans="1:5" ht="15" thickBot="1" x14ac:dyDescent="0.35">
      <c r="A54" s="461">
        <v>42</v>
      </c>
      <c r="B54" s="461" t="s">
        <v>829</v>
      </c>
      <c r="C54" s="441" t="s">
        <v>830</v>
      </c>
      <c r="D54" s="529" t="s">
        <v>986</v>
      </c>
      <c r="E54" s="462" t="str">
        <f t="shared" si="3"/>
        <v xml:space="preserve">                                    -   </v>
      </c>
    </row>
    <row r="55" spans="1:5" ht="15" thickBot="1" x14ac:dyDescent="0.35">
      <c r="A55" s="461">
        <v>43</v>
      </c>
      <c r="B55" s="461" t="s">
        <v>183</v>
      </c>
      <c r="C55" s="441" t="s">
        <v>831</v>
      </c>
      <c r="D55" s="462">
        <f>684810000+'Project detail capital'!F49</f>
        <v>1272274830</v>
      </c>
      <c r="E55" s="462">
        <f t="shared" si="3"/>
        <v>1272274830</v>
      </c>
    </row>
    <row r="56" spans="1:5" ht="15" thickBot="1" x14ac:dyDescent="0.35">
      <c r="A56" s="461">
        <v>44</v>
      </c>
      <c r="B56" s="461" t="s">
        <v>93</v>
      </c>
      <c r="C56" s="441" t="s">
        <v>832</v>
      </c>
      <c r="D56" s="529" t="s">
        <v>986</v>
      </c>
      <c r="E56" s="462" t="str">
        <f t="shared" si="3"/>
        <v xml:space="preserve">                                    -   </v>
      </c>
    </row>
    <row r="57" spans="1:5" ht="15" thickBot="1" x14ac:dyDescent="0.35">
      <c r="A57" s="459"/>
      <c r="B57" s="459" t="s">
        <v>833</v>
      </c>
      <c r="C57" s="442" t="s">
        <v>834</v>
      </c>
      <c r="D57" s="521">
        <f>SUM(D58:D67)</f>
        <v>65000000</v>
      </c>
      <c r="E57" s="521">
        <f t="shared" si="3"/>
        <v>65000000</v>
      </c>
    </row>
    <row r="58" spans="1:5" ht="15" thickBot="1" x14ac:dyDescent="0.35">
      <c r="A58" s="461">
        <v>45</v>
      </c>
      <c r="B58" s="461" t="s">
        <v>94</v>
      </c>
      <c r="C58" s="441" t="s">
        <v>834</v>
      </c>
      <c r="D58" s="462">
        <v>12500000</v>
      </c>
      <c r="E58" s="462">
        <f t="shared" ref="E58:E70" si="4">D58</f>
        <v>12500000</v>
      </c>
    </row>
    <row r="59" spans="1:5" ht="15" thickBot="1" x14ac:dyDescent="0.35">
      <c r="A59" s="461">
        <v>46</v>
      </c>
      <c r="B59" s="461" t="s">
        <v>835</v>
      </c>
      <c r="C59" s="441" t="s">
        <v>836</v>
      </c>
      <c r="D59" s="529" t="s">
        <v>986</v>
      </c>
      <c r="E59" s="462" t="str">
        <f t="shared" si="4"/>
        <v xml:space="preserve">                                    -   </v>
      </c>
    </row>
    <row r="60" spans="1:5" ht="15" thickBot="1" x14ac:dyDescent="0.35">
      <c r="A60" s="470">
        <v>47</v>
      </c>
      <c r="B60" s="470" t="s">
        <v>95</v>
      </c>
      <c r="C60" s="471" t="s">
        <v>837</v>
      </c>
      <c r="D60" s="530" t="s">
        <v>986</v>
      </c>
      <c r="E60" s="518" t="str">
        <f t="shared" si="4"/>
        <v xml:space="preserve">                                    -   </v>
      </c>
    </row>
    <row r="61" spans="1:5" x14ac:dyDescent="0.3">
      <c r="A61" s="469"/>
      <c r="B61" s="469"/>
      <c r="C61" s="472" t="s">
        <v>1037</v>
      </c>
      <c r="D61" s="531"/>
      <c r="E61" s="520"/>
    </row>
    <row r="62" spans="1:5" ht="15" thickBot="1" x14ac:dyDescent="0.35">
      <c r="A62" s="461">
        <v>48</v>
      </c>
      <c r="B62" s="461" t="s">
        <v>96</v>
      </c>
      <c r="C62" s="441" t="s">
        <v>838</v>
      </c>
      <c r="D62" s="462">
        <v>40000000</v>
      </c>
      <c r="E62" s="462">
        <f t="shared" si="4"/>
        <v>40000000</v>
      </c>
    </row>
    <row r="63" spans="1:5" ht="15" thickBot="1" x14ac:dyDescent="0.35">
      <c r="A63" s="470">
        <v>49</v>
      </c>
      <c r="B63" s="461" t="s">
        <v>97</v>
      </c>
      <c r="C63" s="441" t="s">
        <v>839</v>
      </c>
      <c r="D63" s="462">
        <v>4000000</v>
      </c>
      <c r="E63" s="462">
        <f t="shared" si="4"/>
        <v>4000000</v>
      </c>
    </row>
    <row r="64" spans="1:5" ht="15" thickBot="1" x14ac:dyDescent="0.35">
      <c r="A64" s="470">
        <v>50</v>
      </c>
      <c r="B64" s="461" t="s">
        <v>98</v>
      </c>
      <c r="C64" s="441" t="s">
        <v>840</v>
      </c>
      <c r="D64" s="529" t="s">
        <v>986</v>
      </c>
      <c r="E64" s="462" t="str">
        <f t="shared" si="4"/>
        <v xml:space="preserve">                                    -   </v>
      </c>
    </row>
    <row r="65" spans="1:5" ht="15" thickBot="1" x14ac:dyDescent="0.35">
      <c r="A65" s="461">
        <v>51</v>
      </c>
      <c r="B65" s="461" t="s">
        <v>99</v>
      </c>
      <c r="C65" s="441" t="s">
        <v>841</v>
      </c>
      <c r="D65" s="529" t="s">
        <v>986</v>
      </c>
      <c r="E65" s="462" t="str">
        <f t="shared" si="4"/>
        <v xml:space="preserve">                                    -   </v>
      </c>
    </row>
    <row r="66" spans="1:5" ht="15" thickBot="1" x14ac:dyDescent="0.35">
      <c r="A66" s="461">
        <v>52</v>
      </c>
      <c r="B66" s="461" t="s">
        <v>212</v>
      </c>
      <c r="C66" s="441" t="s">
        <v>842</v>
      </c>
      <c r="D66" s="529" t="s">
        <v>986</v>
      </c>
      <c r="E66" s="462" t="str">
        <f t="shared" si="4"/>
        <v xml:space="preserve">                                    -   </v>
      </c>
    </row>
    <row r="67" spans="1:5" ht="15" thickBot="1" x14ac:dyDescent="0.35">
      <c r="A67" s="461">
        <v>53</v>
      </c>
      <c r="B67" s="461" t="s">
        <v>100</v>
      </c>
      <c r="C67" s="441" t="s">
        <v>715</v>
      </c>
      <c r="D67" s="462">
        <v>8500000</v>
      </c>
      <c r="E67" s="462">
        <f t="shared" si="4"/>
        <v>8500000</v>
      </c>
    </row>
    <row r="68" spans="1:5" ht="15" thickBot="1" x14ac:dyDescent="0.35">
      <c r="A68" s="461"/>
      <c r="B68" s="459" t="s">
        <v>843</v>
      </c>
      <c r="C68" s="442" t="s">
        <v>844</v>
      </c>
      <c r="D68" s="521">
        <f>SUM(D69:D70)</f>
        <v>13000000</v>
      </c>
      <c r="E68" s="521">
        <f>D68</f>
        <v>13000000</v>
      </c>
    </row>
    <row r="69" spans="1:5" ht="15" thickBot="1" x14ac:dyDescent="0.35">
      <c r="A69" s="461">
        <v>54</v>
      </c>
      <c r="B69" s="461" t="s">
        <v>101</v>
      </c>
      <c r="C69" s="441" t="s">
        <v>845</v>
      </c>
      <c r="D69" s="462">
        <v>8000000</v>
      </c>
      <c r="E69" s="462">
        <f t="shared" si="4"/>
        <v>8000000</v>
      </c>
    </row>
    <row r="70" spans="1:5" ht="15" thickBot="1" x14ac:dyDescent="0.35">
      <c r="A70" s="461">
        <v>55</v>
      </c>
      <c r="B70" s="461" t="s">
        <v>54</v>
      </c>
      <c r="C70" s="441" t="s">
        <v>846</v>
      </c>
      <c r="D70" s="462">
        <v>5000000</v>
      </c>
      <c r="E70" s="462">
        <f t="shared" si="4"/>
        <v>5000000</v>
      </c>
    </row>
    <row r="71" spans="1:5" ht="15" thickBot="1" x14ac:dyDescent="0.35">
      <c r="A71" s="461"/>
      <c r="B71" s="459" t="s">
        <v>847</v>
      </c>
      <c r="C71" s="442" t="s">
        <v>848</v>
      </c>
      <c r="D71" s="521">
        <f>SUM(D72:D72)</f>
        <v>20300000</v>
      </c>
      <c r="E71" s="521">
        <f t="shared" ref="E71:E80" si="5">D71</f>
        <v>20300000</v>
      </c>
    </row>
    <row r="72" spans="1:5" ht="15" thickBot="1" x14ac:dyDescent="0.35">
      <c r="A72" s="461">
        <v>56</v>
      </c>
      <c r="B72" s="461" t="s">
        <v>102</v>
      </c>
      <c r="C72" s="441" t="s">
        <v>848</v>
      </c>
      <c r="D72" s="462">
        <v>20300000</v>
      </c>
      <c r="E72" s="462">
        <f t="shared" si="5"/>
        <v>20300000</v>
      </c>
    </row>
    <row r="73" spans="1:5" ht="15" thickBot="1" x14ac:dyDescent="0.35">
      <c r="A73" s="461"/>
      <c r="B73" s="459" t="s">
        <v>849</v>
      </c>
      <c r="C73" s="442" t="s">
        <v>850</v>
      </c>
      <c r="D73" s="521">
        <f>SUM(D74:D74)</f>
        <v>10000000</v>
      </c>
      <c r="E73" s="521">
        <f t="shared" si="5"/>
        <v>10000000</v>
      </c>
    </row>
    <row r="74" spans="1:5" ht="15" thickBot="1" x14ac:dyDescent="0.35">
      <c r="A74" s="461">
        <v>57</v>
      </c>
      <c r="B74" s="461" t="s">
        <v>103</v>
      </c>
      <c r="C74" s="441" t="s">
        <v>850</v>
      </c>
      <c r="D74" s="462">
        <v>10000000</v>
      </c>
      <c r="E74" s="462">
        <f t="shared" si="5"/>
        <v>10000000</v>
      </c>
    </row>
    <row r="75" spans="1:5" ht="15" thickBot="1" x14ac:dyDescent="0.35">
      <c r="A75" s="461">
        <v>58</v>
      </c>
      <c r="B75" s="461" t="s">
        <v>104</v>
      </c>
      <c r="C75" s="441" t="s">
        <v>851</v>
      </c>
      <c r="D75" s="529" t="s">
        <v>986</v>
      </c>
      <c r="E75" s="462" t="str">
        <f t="shared" si="5"/>
        <v xml:space="preserve">                                    -   </v>
      </c>
    </row>
    <row r="76" spans="1:5" ht="15" thickBot="1" x14ac:dyDescent="0.35">
      <c r="A76" s="461"/>
      <c r="B76" s="459" t="s">
        <v>852</v>
      </c>
      <c r="C76" s="442" t="s">
        <v>853</v>
      </c>
      <c r="D76" s="521">
        <f>SUM(D77:D77)</f>
        <v>10000000</v>
      </c>
      <c r="E76" s="521">
        <f t="shared" si="5"/>
        <v>10000000</v>
      </c>
    </row>
    <row r="77" spans="1:5" ht="15" thickBot="1" x14ac:dyDescent="0.35">
      <c r="A77" s="461">
        <v>59</v>
      </c>
      <c r="B77" s="461" t="s">
        <v>200</v>
      </c>
      <c r="C77" s="441" t="s">
        <v>853</v>
      </c>
      <c r="D77" s="462">
        <v>10000000</v>
      </c>
      <c r="E77" s="462">
        <f t="shared" si="5"/>
        <v>10000000</v>
      </c>
    </row>
    <row r="78" spans="1:5" ht="15" thickBot="1" x14ac:dyDescent="0.35">
      <c r="A78" s="456"/>
      <c r="B78" s="456" t="s">
        <v>854</v>
      </c>
      <c r="C78" s="457" t="s">
        <v>855</v>
      </c>
      <c r="D78" s="526">
        <f>D79+D90+D102+D108+D111+D114+D118+D123+D128+D130+D139+D143+D145+D147+D150</f>
        <v>53010651989</v>
      </c>
      <c r="E78" s="526">
        <f t="shared" si="5"/>
        <v>53010651989</v>
      </c>
    </row>
    <row r="79" spans="1:5" ht="15" thickBot="1" x14ac:dyDescent="0.35">
      <c r="A79" s="461"/>
      <c r="B79" s="459" t="s">
        <v>856</v>
      </c>
      <c r="C79" s="442" t="s">
        <v>857</v>
      </c>
      <c r="D79" s="521">
        <f>SUM(D80:D89)</f>
        <v>2830716000</v>
      </c>
      <c r="E79" s="521">
        <f t="shared" si="5"/>
        <v>2830716000</v>
      </c>
    </row>
    <row r="80" spans="1:5" ht="15" thickBot="1" x14ac:dyDescent="0.35">
      <c r="A80" s="461">
        <v>60</v>
      </c>
      <c r="B80" s="461" t="s">
        <v>57</v>
      </c>
      <c r="C80" s="441" t="s">
        <v>857</v>
      </c>
      <c r="D80" s="462">
        <f>2907716000-'Pooled Fund detail Capital'!H87</f>
        <v>2007716000</v>
      </c>
      <c r="E80" s="462">
        <f t="shared" si="5"/>
        <v>2007716000</v>
      </c>
    </row>
    <row r="81" spans="1:5" ht="15" thickBot="1" x14ac:dyDescent="0.35">
      <c r="A81" s="461">
        <v>61</v>
      </c>
      <c r="B81" s="461" t="s">
        <v>191</v>
      </c>
      <c r="C81" s="441" t="s">
        <v>988</v>
      </c>
      <c r="D81" s="529" t="s">
        <v>986</v>
      </c>
      <c r="E81" s="462" t="str">
        <f t="shared" ref="E81:E89" si="6">D81</f>
        <v xml:space="preserve">                                    -   </v>
      </c>
    </row>
    <row r="82" spans="1:5" ht="15" thickBot="1" x14ac:dyDescent="0.35">
      <c r="A82" s="461">
        <v>62</v>
      </c>
      <c r="B82" s="461" t="s">
        <v>572</v>
      </c>
      <c r="C82" s="441" t="s">
        <v>858</v>
      </c>
      <c r="D82" s="529" t="s">
        <v>986</v>
      </c>
      <c r="E82" s="462" t="str">
        <f t="shared" si="6"/>
        <v xml:space="preserve">                                    -   </v>
      </c>
    </row>
    <row r="83" spans="1:5" ht="15" thickBot="1" x14ac:dyDescent="0.35">
      <c r="A83" s="461">
        <v>63</v>
      </c>
      <c r="B83" s="461" t="s">
        <v>105</v>
      </c>
      <c r="C83" s="441" t="s">
        <v>859</v>
      </c>
      <c r="D83" s="529" t="s">
        <v>986</v>
      </c>
      <c r="E83" s="462" t="str">
        <f t="shared" si="6"/>
        <v xml:space="preserve">                                    -   </v>
      </c>
    </row>
    <row r="84" spans="1:5" ht="15" thickBot="1" x14ac:dyDescent="0.35">
      <c r="A84" s="461">
        <v>64</v>
      </c>
      <c r="B84" s="461" t="s">
        <v>106</v>
      </c>
      <c r="C84" s="441" t="s">
        <v>860</v>
      </c>
      <c r="D84" s="462">
        <f>100000000-'Pooled Fund detail Capital'!H55</f>
        <v>80000000</v>
      </c>
      <c r="E84" s="462">
        <f t="shared" si="6"/>
        <v>80000000</v>
      </c>
    </row>
    <row r="85" spans="1:5" ht="15" thickBot="1" x14ac:dyDescent="0.35">
      <c r="A85" s="461">
        <v>65</v>
      </c>
      <c r="B85" s="461" t="s">
        <v>107</v>
      </c>
      <c r="C85" s="441" t="s">
        <v>861</v>
      </c>
      <c r="D85" s="529" t="s">
        <v>986</v>
      </c>
      <c r="E85" s="462" t="str">
        <f t="shared" si="6"/>
        <v xml:space="preserve">                                    -   </v>
      </c>
    </row>
    <row r="86" spans="1:5" ht="15" thickBot="1" x14ac:dyDescent="0.35">
      <c r="A86" s="461">
        <v>66</v>
      </c>
      <c r="B86" s="461" t="s">
        <v>60</v>
      </c>
      <c r="C86" s="441" t="s">
        <v>862</v>
      </c>
      <c r="D86" s="462">
        <v>50000000</v>
      </c>
      <c r="E86" s="462">
        <f t="shared" si="6"/>
        <v>50000000</v>
      </c>
    </row>
    <row r="87" spans="1:5" ht="15" thickBot="1" x14ac:dyDescent="0.35">
      <c r="A87" s="461">
        <v>67</v>
      </c>
      <c r="B87" s="461" t="s">
        <v>108</v>
      </c>
      <c r="C87" s="441" t="s">
        <v>863</v>
      </c>
      <c r="D87" s="462">
        <v>15000000</v>
      </c>
      <c r="E87" s="462">
        <f t="shared" si="6"/>
        <v>15000000</v>
      </c>
    </row>
    <row r="88" spans="1:5" ht="15" thickBot="1" x14ac:dyDescent="0.35">
      <c r="A88" s="461">
        <v>68</v>
      </c>
      <c r="B88" s="461" t="s">
        <v>58</v>
      </c>
      <c r="C88" s="441" t="s">
        <v>864</v>
      </c>
      <c r="D88" s="462">
        <f>350000000-'Pooled Fund detail Capital'!H95</f>
        <v>150000000</v>
      </c>
      <c r="E88" s="462">
        <f t="shared" si="6"/>
        <v>150000000</v>
      </c>
    </row>
    <row r="89" spans="1:5" ht="15" thickBot="1" x14ac:dyDescent="0.35">
      <c r="A89" s="461">
        <v>69</v>
      </c>
      <c r="B89" s="461" t="s">
        <v>189</v>
      </c>
      <c r="C89" s="441" t="s">
        <v>999</v>
      </c>
      <c r="D89" s="462">
        <f>4378000000-'Pooled Fund detail Capital'!H92</f>
        <v>528000000</v>
      </c>
      <c r="E89" s="462">
        <f t="shared" si="6"/>
        <v>528000000</v>
      </c>
    </row>
    <row r="90" spans="1:5" ht="15" thickBot="1" x14ac:dyDescent="0.35">
      <c r="A90" s="470"/>
      <c r="B90" s="475" t="s">
        <v>865</v>
      </c>
      <c r="C90" s="476" t="s">
        <v>63</v>
      </c>
      <c r="D90" s="532">
        <f>SUM(D92:D101)</f>
        <v>6958534000</v>
      </c>
      <c r="E90" s="532">
        <f>D90</f>
        <v>6958534000</v>
      </c>
    </row>
    <row r="91" spans="1:5" x14ac:dyDescent="0.3">
      <c r="A91" s="469"/>
      <c r="B91" s="450"/>
      <c r="C91" s="472" t="s">
        <v>1038</v>
      </c>
      <c r="D91" s="533"/>
      <c r="E91" s="533"/>
    </row>
    <row r="92" spans="1:5" ht="15" thickBot="1" x14ac:dyDescent="0.35">
      <c r="A92" s="461">
        <v>70</v>
      </c>
      <c r="B92" s="461" t="s">
        <v>109</v>
      </c>
      <c r="C92" s="441" t="s">
        <v>63</v>
      </c>
      <c r="D92" s="462">
        <f>2750505000+'Project detail capital'!F60</f>
        <v>6770505000</v>
      </c>
      <c r="E92" s="462">
        <f t="shared" ref="E92:E146" si="7">D92</f>
        <v>6770505000</v>
      </c>
    </row>
    <row r="93" spans="1:5" ht="15" thickBot="1" x14ac:dyDescent="0.35">
      <c r="A93" s="470">
        <v>71</v>
      </c>
      <c r="B93" s="461" t="s">
        <v>110</v>
      </c>
      <c r="C93" s="441" t="s">
        <v>866</v>
      </c>
      <c r="D93" s="529" t="s">
        <v>986</v>
      </c>
      <c r="E93" s="462" t="str">
        <f t="shared" si="7"/>
        <v xml:space="preserve">                                    -   </v>
      </c>
    </row>
    <row r="94" spans="1:5" ht="15" thickBot="1" x14ac:dyDescent="0.35">
      <c r="A94" s="461">
        <v>72</v>
      </c>
      <c r="B94" s="461" t="s">
        <v>111</v>
      </c>
      <c r="C94" s="441" t="s">
        <v>867</v>
      </c>
      <c r="D94" s="529" t="s">
        <v>986</v>
      </c>
      <c r="E94" s="462" t="str">
        <f t="shared" si="7"/>
        <v xml:space="preserve">                                    -   </v>
      </c>
    </row>
    <row r="95" spans="1:5" ht="15" thickBot="1" x14ac:dyDescent="0.35">
      <c r="A95" s="470">
        <v>73</v>
      </c>
      <c r="B95" s="461" t="s">
        <v>192</v>
      </c>
      <c r="C95" s="441" t="s">
        <v>868</v>
      </c>
      <c r="D95" s="529" t="s">
        <v>986</v>
      </c>
      <c r="E95" s="462" t="str">
        <f t="shared" si="7"/>
        <v xml:space="preserve">                                    -   </v>
      </c>
    </row>
    <row r="96" spans="1:5" ht="15" thickBot="1" x14ac:dyDescent="0.35">
      <c r="A96" s="461">
        <v>74</v>
      </c>
      <c r="B96" s="461" t="s">
        <v>573</v>
      </c>
      <c r="C96" s="441" t="s">
        <v>869</v>
      </c>
      <c r="D96" s="529" t="s">
        <v>986</v>
      </c>
      <c r="E96" s="462" t="str">
        <f t="shared" si="7"/>
        <v xml:space="preserve">                                    -   </v>
      </c>
    </row>
    <row r="97" spans="1:5" ht="15" thickBot="1" x14ac:dyDescent="0.35">
      <c r="A97" s="470">
        <v>75</v>
      </c>
      <c r="B97" s="461" t="s">
        <v>112</v>
      </c>
      <c r="C97" s="441" t="s">
        <v>542</v>
      </c>
      <c r="D97" s="462">
        <v>10829000</v>
      </c>
      <c r="E97" s="462">
        <f t="shared" si="7"/>
        <v>10829000</v>
      </c>
    </row>
    <row r="98" spans="1:5" ht="15" thickBot="1" x14ac:dyDescent="0.35">
      <c r="A98" s="461">
        <v>76</v>
      </c>
      <c r="B98" s="461" t="s">
        <v>113</v>
      </c>
      <c r="C98" s="441" t="s">
        <v>574</v>
      </c>
      <c r="D98" s="462">
        <v>173500000</v>
      </c>
      <c r="E98" s="462">
        <f t="shared" si="7"/>
        <v>173500000</v>
      </c>
    </row>
    <row r="99" spans="1:5" ht="15" thickBot="1" x14ac:dyDescent="0.35">
      <c r="A99" s="470">
        <v>77</v>
      </c>
      <c r="B99" s="461" t="s">
        <v>193</v>
      </c>
      <c r="C99" s="441" t="s">
        <v>870</v>
      </c>
      <c r="D99" s="529" t="s">
        <v>986</v>
      </c>
      <c r="E99" s="462" t="str">
        <f t="shared" si="7"/>
        <v xml:space="preserve">                                    -   </v>
      </c>
    </row>
    <row r="100" spans="1:5" ht="15" thickBot="1" x14ac:dyDescent="0.35">
      <c r="A100" s="461">
        <v>78</v>
      </c>
      <c r="B100" s="461" t="s">
        <v>871</v>
      </c>
      <c r="C100" s="441" t="s">
        <v>872</v>
      </c>
      <c r="D100" s="529" t="s">
        <v>986</v>
      </c>
      <c r="E100" s="462" t="str">
        <f t="shared" si="7"/>
        <v xml:space="preserve">                                    -   </v>
      </c>
    </row>
    <row r="101" spans="1:5" ht="15" thickBot="1" x14ac:dyDescent="0.35">
      <c r="A101" s="470">
        <v>79</v>
      </c>
      <c r="B101" s="461" t="s">
        <v>190</v>
      </c>
      <c r="C101" s="441" t="s">
        <v>873</v>
      </c>
      <c r="D101" s="462">
        <v>3700000</v>
      </c>
      <c r="E101" s="462">
        <f t="shared" si="7"/>
        <v>3700000</v>
      </c>
    </row>
    <row r="102" spans="1:5" ht="15" thickBot="1" x14ac:dyDescent="0.35">
      <c r="A102" s="461"/>
      <c r="B102" s="459" t="s">
        <v>874</v>
      </c>
      <c r="C102" s="442" t="s">
        <v>575</v>
      </c>
      <c r="D102" s="521">
        <f>SUM(D103:D107)</f>
        <v>1949259000</v>
      </c>
      <c r="E102" s="521">
        <f>D102</f>
        <v>1949259000</v>
      </c>
    </row>
    <row r="103" spans="1:5" ht="15" thickBot="1" x14ac:dyDescent="0.35">
      <c r="A103" s="461">
        <v>80</v>
      </c>
      <c r="B103" s="461" t="s">
        <v>114</v>
      </c>
      <c r="C103" s="441" t="s">
        <v>575</v>
      </c>
      <c r="D103" s="462">
        <v>366604000</v>
      </c>
      <c r="E103" s="462">
        <f t="shared" si="7"/>
        <v>366604000</v>
      </c>
    </row>
    <row r="104" spans="1:5" ht="15" thickBot="1" x14ac:dyDescent="0.35">
      <c r="A104" s="461">
        <v>81</v>
      </c>
      <c r="B104" s="461" t="s">
        <v>115</v>
      </c>
      <c r="C104" s="441" t="s">
        <v>875</v>
      </c>
      <c r="D104" s="462">
        <v>2500000</v>
      </c>
      <c r="E104" s="462">
        <f t="shared" si="7"/>
        <v>2500000</v>
      </c>
    </row>
    <row r="105" spans="1:5" ht="15" thickBot="1" x14ac:dyDescent="0.35">
      <c r="A105" s="461">
        <v>82</v>
      </c>
      <c r="B105" s="461" t="s">
        <v>116</v>
      </c>
      <c r="C105" s="441" t="s">
        <v>576</v>
      </c>
      <c r="D105" s="462">
        <v>325155000</v>
      </c>
      <c r="E105" s="462">
        <f t="shared" si="7"/>
        <v>325155000</v>
      </c>
    </row>
    <row r="106" spans="1:5" ht="15" thickBot="1" x14ac:dyDescent="0.35">
      <c r="A106" s="461">
        <v>83</v>
      </c>
      <c r="B106" s="461" t="s">
        <v>194</v>
      </c>
      <c r="C106" s="441" t="s">
        <v>876</v>
      </c>
      <c r="D106" s="462">
        <f>500000000-'Pooled Fund detail Capital'!H48</f>
        <v>380000000</v>
      </c>
      <c r="E106" s="462">
        <f t="shared" si="7"/>
        <v>380000000</v>
      </c>
    </row>
    <row r="107" spans="1:5" ht="15" thickBot="1" x14ac:dyDescent="0.35">
      <c r="A107" s="461">
        <v>84</v>
      </c>
      <c r="B107" s="461" t="s">
        <v>186</v>
      </c>
      <c r="C107" s="441" t="s">
        <v>877</v>
      </c>
      <c r="D107" s="462">
        <f>1000000000-'Pooled Fund detail Capital'!H52</f>
        <v>875000000</v>
      </c>
      <c r="E107" s="462">
        <f t="shared" si="7"/>
        <v>875000000</v>
      </c>
    </row>
    <row r="108" spans="1:5" ht="15" thickBot="1" x14ac:dyDescent="0.35">
      <c r="A108" s="461"/>
      <c r="B108" s="459" t="s">
        <v>878</v>
      </c>
      <c r="C108" s="442" t="s">
        <v>303</v>
      </c>
      <c r="D108" s="521">
        <f>SUM(D109:D110)</f>
        <v>102500000</v>
      </c>
      <c r="E108" s="521">
        <f>D108</f>
        <v>102500000</v>
      </c>
    </row>
    <row r="109" spans="1:5" ht="15" thickBot="1" x14ac:dyDescent="0.35">
      <c r="A109" s="461">
        <v>85</v>
      </c>
      <c r="B109" s="461" t="s">
        <v>117</v>
      </c>
      <c r="C109" s="441" t="s">
        <v>303</v>
      </c>
      <c r="D109" s="462">
        <f>102500000-'Pooled Fund detail Capital'!H75+'Project detail capital'!F69</f>
        <v>102500000</v>
      </c>
      <c r="E109" s="462">
        <f t="shared" si="7"/>
        <v>102500000</v>
      </c>
    </row>
    <row r="110" spans="1:5" ht="15" thickBot="1" x14ac:dyDescent="0.35">
      <c r="A110" s="461">
        <v>86</v>
      </c>
      <c r="B110" s="461" t="s">
        <v>118</v>
      </c>
      <c r="C110" s="441" t="s">
        <v>879</v>
      </c>
      <c r="D110" s="529" t="s">
        <v>986</v>
      </c>
      <c r="E110" s="462" t="str">
        <f t="shared" si="7"/>
        <v xml:space="preserve">                                    -   </v>
      </c>
    </row>
    <row r="111" spans="1:5" ht="15" thickBot="1" x14ac:dyDescent="0.35">
      <c r="A111" s="461"/>
      <c r="B111" s="459" t="s">
        <v>880</v>
      </c>
      <c r="C111" s="442" t="s">
        <v>881</v>
      </c>
      <c r="D111" s="521">
        <f>SUM(D112:D113)</f>
        <v>77000000</v>
      </c>
      <c r="E111" s="521">
        <f>D111</f>
        <v>77000000</v>
      </c>
    </row>
    <row r="112" spans="1:5" ht="15" thickBot="1" x14ac:dyDescent="0.35">
      <c r="A112" s="461">
        <v>87</v>
      </c>
      <c r="B112" s="461" t="s">
        <v>119</v>
      </c>
      <c r="C112" s="441" t="s">
        <v>881</v>
      </c>
      <c r="D112" s="462">
        <v>77000000</v>
      </c>
      <c r="E112" s="462">
        <f t="shared" si="7"/>
        <v>77000000</v>
      </c>
    </row>
    <row r="113" spans="1:5" ht="15" thickBot="1" x14ac:dyDescent="0.35">
      <c r="A113" s="461">
        <v>88</v>
      </c>
      <c r="B113" s="461" t="s">
        <v>120</v>
      </c>
      <c r="C113" s="441" t="s">
        <v>989</v>
      </c>
      <c r="D113" s="529" t="s">
        <v>986</v>
      </c>
      <c r="E113" s="462" t="str">
        <f t="shared" si="7"/>
        <v xml:space="preserve">                                    -   </v>
      </c>
    </row>
    <row r="114" spans="1:5" ht="15" thickBot="1" x14ac:dyDescent="0.35">
      <c r="A114" s="461"/>
      <c r="B114" s="459" t="s">
        <v>882</v>
      </c>
      <c r="C114" s="442" t="s">
        <v>883</v>
      </c>
      <c r="D114" s="521">
        <f>SUM(D115:D117)</f>
        <v>533000000</v>
      </c>
      <c r="E114" s="521">
        <f>D114</f>
        <v>533000000</v>
      </c>
    </row>
    <row r="115" spans="1:5" ht="15" thickBot="1" x14ac:dyDescent="0.35">
      <c r="A115" s="461">
        <v>89</v>
      </c>
      <c r="B115" s="461" t="s">
        <v>433</v>
      </c>
      <c r="C115" s="441" t="s">
        <v>883</v>
      </c>
      <c r="D115" s="462">
        <f>450000000-'Pooled Fund detail Capital'!H28+'Project detail capital'!F87</f>
        <v>398000000</v>
      </c>
      <c r="E115" s="462">
        <f t="shared" si="7"/>
        <v>398000000</v>
      </c>
    </row>
    <row r="116" spans="1:5" ht="15" thickBot="1" x14ac:dyDescent="0.35">
      <c r="A116" s="461">
        <v>90</v>
      </c>
      <c r="B116" s="461" t="s">
        <v>121</v>
      </c>
      <c r="C116" s="441" t="s">
        <v>577</v>
      </c>
      <c r="D116" s="462">
        <f>165000000-'Pooled Fund detail Capital'!H44</f>
        <v>115000000</v>
      </c>
      <c r="E116" s="462">
        <f t="shared" si="7"/>
        <v>115000000</v>
      </c>
    </row>
    <row r="117" spans="1:5" ht="15" thickBot="1" x14ac:dyDescent="0.35">
      <c r="A117" s="461">
        <v>91</v>
      </c>
      <c r="B117" s="461" t="s">
        <v>203</v>
      </c>
      <c r="C117" s="441" t="s">
        <v>884</v>
      </c>
      <c r="D117" s="462">
        <v>20000000</v>
      </c>
      <c r="E117" s="462">
        <f t="shared" si="7"/>
        <v>20000000</v>
      </c>
    </row>
    <row r="118" spans="1:5" ht="15" thickBot="1" x14ac:dyDescent="0.35">
      <c r="A118" s="461"/>
      <c r="B118" s="459" t="s">
        <v>885</v>
      </c>
      <c r="C118" s="442" t="s">
        <v>886</v>
      </c>
      <c r="D118" s="521">
        <f>SUM(D119:D122)</f>
        <v>285000000</v>
      </c>
      <c r="E118" s="521">
        <f>D118</f>
        <v>285000000</v>
      </c>
    </row>
    <row r="119" spans="1:5" ht="15" thickBot="1" x14ac:dyDescent="0.35">
      <c r="A119" s="470">
        <v>92</v>
      </c>
      <c r="B119" s="470" t="s">
        <v>578</v>
      </c>
      <c r="C119" s="471" t="s">
        <v>886</v>
      </c>
      <c r="D119" s="518">
        <v>192500000</v>
      </c>
      <c r="E119" s="518">
        <f t="shared" si="7"/>
        <v>192500000</v>
      </c>
    </row>
    <row r="120" spans="1:5" ht="15" thickBot="1" x14ac:dyDescent="0.35">
      <c r="A120" s="461">
        <v>93</v>
      </c>
      <c r="B120" s="461" t="s">
        <v>122</v>
      </c>
      <c r="C120" s="441" t="s">
        <v>990</v>
      </c>
      <c r="D120" s="462">
        <v>92500000</v>
      </c>
      <c r="E120" s="462">
        <f t="shared" si="7"/>
        <v>92500000</v>
      </c>
    </row>
    <row r="121" spans="1:5" x14ac:dyDescent="0.3">
      <c r="A121" s="469"/>
      <c r="B121" s="469"/>
      <c r="C121" s="472" t="s">
        <v>1039</v>
      </c>
      <c r="D121" s="520"/>
      <c r="E121" s="520"/>
    </row>
    <row r="122" spans="1:5" ht="15" thickBot="1" x14ac:dyDescent="0.35">
      <c r="A122" s="461">
        <v>94</v>
      </c>
      <c r="B122" s="461" t="s">
        <v>887</v>
      </c>
      <c r="C122" s="441" t="s">
        <v>888</v>
      </c>
      <c r="D122" s="529" t="s">
        <v>986</v>
      </c>
      <c r="E122" s="462" t="str">
        <f t="shared" si="7"/>
        <v xml:space="preserve">                                    -   </v>
      </c>
    </row>
    <row r="123" spans="1:5" ht="15" thickBot="1" x14ac:dyDescent="0.35">
      <c r="A123" s="461"/>
      <c r="B123" s="459" t="s">
        <v>889</v>
      </c>
      <c r="C123" s="442" t="s">
        <v>511</v>
      </c>
      <c r="D123" s="521">
        <f>SUM(D124:D127)</f>
        <v>27452279989</v>
      </c>
      <c r="E123" s="521">
        <f>D123</f>
        <v>27452279989</v>
      </c>
    </row>
    <row r="124" spans="1:5" ht="15" thickBot="1" x14ac:dyDescent="0.35">
      <c r="A124" s="470">
        <v>95</v>
      </c>
      <c r="B124" s="461" t="s">
        <v>62</v>
      </c>
      <c r="C124" s="441" t="s">
        <v>511</v>
      </c>
      <c r="D124" s="462">
        <f>25142279989+'Project detail capital'!F92</f>
        <v>27152279989</v>
      </c>
      <c r="E124" s="462">
        <f t="shared" si="7"/>
        <v>27152279989</v>
      </c>
    </row>
    <row r="125" spans="1:5" ht="15" thickBot="1" x14ac:dyDescent="0.35">
      <c r="A125" s="470">
        <v>96</v>
      </c>
      <c r="B125" s="461" t="s">
        <v>890</v>
      </c>
      <c r="C125" s="441" t="s">
        <v>891</v>
      </c>
      <c r="D125" s="529" t="s">
        <v>986</v>
      </c>
      <c r="E125" s="462" t="str">
        <f t="shared" si="7"/>
        <v xml:space="preserve">                                    -   </v>
      </c>
    </row>
    <row r="126" spans="1:5" ht="15" thickBot="1" x14ac:dyDescent="0.35">
      <c r="A126" s="461">
        <v>97</v>
      </c>
      <c r="B126" s="461" t="s">
        <v>201</v>
      </c>
      <c r="C126" s="441" t="s">
        <v>991</v>
      </c>
      <c r="D126" s="529" t="s">
        <v>986</v>
      </c>
      <c r="E126" s="462" t="str">
        <f t="shared" si="7"/>
        <v xml:space="preserve">                                    -   </v>
      </c>
    </row>
    <row r="127" spans="1:5" ht="15" thickBot="1" x14ac:dyDescent="0.35">
      <c r="A127" s="461">
        <v>98</v>
      </c>
      <c r="B127" s="461" t="s">
        <v>123</v>
      </c>
      <c r="C127" s="441" t="s">
        <v>743</v>
      </c>
      <c r="D127" s="462">
        <f>2000000000-'Pooled Fund detail Capital'!H99</f>
        <v>300000000</v>
      </c>
      <c r="E127" s="462">
        <f t="shared" si="7"/>
        <v>300000000</v>
      </c>
    </row>
    <row r="128" spans="1:5" ht="15" thickBot="1" x14ac:dyDescent="0.35">
      <c r="A128" s="461"/>
      <c r="B128" s="459" t="s">
        <v>892</v>
      </c>
      <c r="C128" s="442" t="s">
        <v>893</v>
      </c>
      <c r="D128" s="521">
        <f>SUM(D129:D129)</f>
        <v>51500000</v>
      </c>
      <c r="E128" s="521">
        <f>D128</f>
        <v>51500000</v>
      </c>
    </row>
    <row r="129" spans="1:5" ht="15" thickBot="1" x14ac:dyDescent="0.35">
      <c r="A129" s="461">
        <v>99</v>
      </c>
      <c r="B129" s="461" t="s">
        <v>124</v>
      </c>
      <c r="C129" s="441" t="s">
        <v>893</v>
      </c>
      <c r="D129" s="462">
        <v>51500000</v>
      </c>
      <c r="E129" s="462">
        <f t="shared" si="7"/>
        <v>51500000</v>
      </c>
    </row>
    <row r="130" spans="1:5" ht="15" thickBot="1" x14ac:dyDescent="0.35">
      <c r="A130" s="461"/>
      <c r="B130" s="459" t="s">
        <v>894</v>
      </c>
      <c r="C130" s="442" t="s">
        <v>536</v>
      </c>
      <c r="D130" s="521">
        <f>SUM(D131:D138)</f>
        <v>1267688000</v>
      </c>
      <c r="E130" s="521">
        <f>D130</f>
        <v>1267688000</v>
      </c>
    </row>
    <row r="131" spans="1:5" ht="15" thickBot="1" x14ac:dyDescent="0.35">
      <c r="A131" s="461">
        <v>100</v>
      </c>
      <c r="B131" s="461" t="s">
        <v>125</v>
      </c>
      <c r="C131" s="441" t="s">
        <v>536</v>
      </c>
      <c r="D131" s="462">
        <f>637688000-'Pooled Fund detail Capital'!H17+'Project detail capital'!F99</f>
        <v>897688000</v>
      </c>
      <c r="E131" s="462">
        <f t="shared" si="7"/>
        <v>897688000</v>
      </c>
    </row>
    <row r="132" spans="1:5" ht="15" thickBot="1" x14ac:dyDescent="0.35">
      <c r="A132" s="461">
        <v>101</v>
      </c>
      <c r="B132" s="461" t="s">
        <v>126</v>
      </c>
      <c r="C132" s="441" t="s">
        <v>895</v>
      </c>
      <c r="D132" s="529" t="s">
        <v>986</v>
      </c>
      <c r="E132" s="462" t="str">
        <f t="shared" si="7"/>
        <v xml:space="preserve">                                    -   </v>
      </c>
    </row>
    <row r="133" spans="1:5" ht="15" thickBot="1" x14ac:dyDescent="0.35">
      <c r="A133" s="461">
        <v>102</v>
      </c>
      <c r="B133" s="461" t="s">
        <v>127</v>
      </c>
      <c r="C133" s="441" t="s">
        <v>896</v>
      </c>
      <c r="D133" s="529" t="s">
        <v>986</v>
      </c>
      <c r="E133" s="462" t="str">
        <f t="shared" si="7"/>
        <v xml:space="preserve">                                    -   </v>
      </c>
    </row>
    <row r="134" spans="1:5" ht="15" thickBot="1" x14ac:dyDescent="0.35">
      <c r="A134" s="461">
        <v>103</v>
      </c>
      <c r="B134" s="461" t="s">
        <v>128</v>
      </c>
      <c r="C134" s="441" t="s">
        <v>897</v>
      </c>
      <c r="D134" s="462">
        <v>240000000</v>
      </c>
      <c r="E134" s="462">
        <f t="shared" si="7"/>
        <v>240000000</v>
      </c>
    </row>
    <row r="135" spans="1:5" ht="15" thickBot="1" x14ac:dyDescent="0.35">
      <c r="A135" s="461">
        <v>104</v>
      </c>
      <c r="B135" s="461" t="s">
        <v>195</v>
      </c>
      <c r="C135" s="441" t="s">
        <v>898</v>
      </c>
      <c r="D135" s="529" t="s">
        <v>986</v>
      </c>
      <c r="E135" s="462" t="str">
        <f t="shared" si="7"/>
        <v xml:space="preserve">                                    -   </v>
      </c>
    </row>
    <row r="136" spans="1:5" ht="15" thickBot="1" x14ac:dyDescent="0.35">
      <c r="A136" s="461">
        <v>105</v>
      </c>
      <c r="B136" s="461" t="s">
        <v>196</v>
      </c>
      <c r="C136" s="441" t="s">
        <v>899</v>
      </c>
      <c r="D136" s="529" t="s">
        <v>986</v>
      </c>
      <c r="E136" s="462" t="str">
        <f t="shared" si="7"/>
        <v xml:space="preserve">                                    -   </v>
      </c>
    </row>
    <row r="137" spans="1:5" ht="15" thickBot="1" x14ac:dyDescent="0.35">
      <c r="A137" s="461">
        <v>106</v>
      </c>
      <c r="B137" s="461" t="s">
        <v>579</v>
      </c>
      <c r="C137" s="441" t="s">
        <v>900</v>
      </c>
      <c r="D137" s="529" t="s">
        <v>986</v>
      </c>
      <c r="E137" s="462" t="str">
        <f t="shared" si="7"/>
        <v xml:space="preserve">                                    -   </v>
      </c>
    </row>
    <row r="138" spans="1:5" ht="15" thickBot="1" x14ac:dyDescent="0.35">
      <c r="A138" s="461">
        <v>107</v>
      </c>
      <c r="B138" s="461" t="s">
        <v>129</v>
      </c>
      <c r="C138" s="441" t="s">
        <v>901</v>
      </c>
      <c r="D138" s="462">
        <f>170000000-'Pooled Fund detail Capital'!H7</f>
        <v>130000000</v>
      </c>
      <c r="E138" s="462">
        <f t="shared" si="7"/>
        <v>130000000</v>
      </c>
    </row>
    <row r="139" spans="1:5" ht="15" thickBot="1" x14ac:dyDescent="0.35">
      <c r="A139" s="461"/>
      <c r="B139" s="459" t="s">
        <v>902</v>
      </c>
      <c r="C139" s="442" t="s">
        <v>300</v>
      </c>
      <c r="D139" s="521">
        <f>SUM(D140:D142)</f>
        <v>5835575000</v>
      </c>
      <c r="E139" s="521">
        <f>D139</f>
        <v>5835575000</v>
      </c>
    </row>
    <row r="140" spans="1:5" ht="15" thickBot="1" x14ac:dyDescent="0.35">
      <c r="A140" s="461">
        <v>108</v>
      </c>
      <c r="B140" s="461" t="s">
        <v>65</v>
      </c>
      <c r="C140" s="441" t="s">
        <v>300</v>
      </c>
      <c r="D140" s="462">
        <v>17000000</v>
      </c>
      <c r="E140" s="462">
        <f t="shared" si="7"/>
        <v>17000000</v>
      </c>
    </row>
    <row r="141" spans="1:5" ht="15" thickBot="1" x14ac:dyDescent="0.35">
      <c r="A141" s="461">
        <v>109</v>
      </c>
      <c r="B141" s="461" t="s">
        <v>130</v>
      </c>
      <c r="C141" s="441" t="s">
        <v>749</v>
      </c>
      <c r="D141" s="462">
        <f>11265325000-'Pooled Fund detail Capital'!H103</f>
        <v>5003575000</v>
      </c>
      <c r="E141" s="462">
        <f t="shared" si="7"/>
        <v>5003575000</v>
      </c>
    </row>
    <row r="142" spans="1:5" ht="15" thickBot="1" x14ac:dyDescent="0.35">
      <c r="A142" s="461">
        <v>110</v>
      </c>
      <c r="B142" s="461" t="s">
        <v>131</v>
      </c>
      <c r="C142" s="441" t="s">
        <v>903</v>
      </c>
      <c r="D142" s="462">
        <v>815000000</v>
      </c>
      <c r="E142" s="462">
        <f t="shared" si="7"/>
        <v>815000000</v>
      </c>
    </row>
    <row r="143" spans="1:5" ht="15" thickBot="1" x14ac:dyDescent="0.35">
      <c r="A143" s="461"/>
      <c r="B143" s="459" t="s">
        <v>904</v>
      </c>
      <c r="C143" s="442" t="s">
        <v>905</v>
      </c>
      <c r="D143" s="521">
        <f>SUM(D144:D144)</f>
        <v>45000000</v>
      </c>
      <c r="E143" s="521">
        <f>D143</f>
        <v>45000000</v>
      </c>
    </row>
    <row r="144" spans="1:5" ht="15" thickBot="1" x14ac:dyDescent="0.35">
      <c r="A144" s="461">
        <v>111</v>
      </c>
      <c r="B144" s="461" t="s">
        <v>132</v>
      </c>
      <c r="C144" s="441" t="s">
        <v>906</v>
      </c>
      <c r="D144" s="462">
        <v>45000000</v>
      </c>
      <c r="E144" s="462">
        <f t="shared" si="7"/>
        <v>45000000</v>
      </c>
    </row>
    <row r="145" spans="1:5" ht="15" thickBot="1" x14ac:dyDescent="0.35">
      <c r="A145" s="461"/>
      <c r="B145" s="459" t="s">
        <v>907</v>
      </c>
      <c r="C145" s="442" t="s">
        <v>323</v>
      </c>
      <c r="D145" s="521">
        <f>SUM(D146:D146)</f>
        <v>3910600000</v>
      </c>
      <c r="E145" s="521">
        <f>D145</f>
        <v>3910600000</v>
      </c>
    </row>
    <row r="146" spans="1:5" ht="15" thickBot="1" x14ac:dyDescent="0.35">
      <c r="A146" s="461">
        <v>112</v>
      </c>
      <c r="B146" s="461" t="s">
        <v>133</v>
      </c>
      <c r="C146" s="441" t="s">
        <v>323</v>
      </c>
      <c r="D146" s="462">
        <f>5089600000-'Pooled Fund detail Capital'!H32+'Project detail capital'!F108</f>
        <v>3910600000</v>
      </c>
      <c r="E146" s="462">
        <f t="shared" si="7"/>
        <v>3910600000</v>
      </c>
    </row>
    <row r="147" spans="1:5" ht="15" thickBot="1" x14ac:dyDescent="0.35">
      <c r="A147" s="461"/>
      <c r="B147" s="459" t="s">
        <v>908</v>
      </c>
      <c r="C147" s="442" t="s">
        <v>432</v>
      </c>
      <c r="D147" s="521">
        <f>SUM(D148:D149)</f>
        <v>132000000</v>
      </c>
      <c r="E147" s="521">
        <f t="shared" ref="E147:E155" si="8">D147</f>
        <v>132000000</v>
      </c>
    </row>
    <row r="148" spans="1:5" ht="15" thickBot="1" x14ac:dyDescent="0.35">
      <c r="A148" s="461">
        <v>113</v>
      </c>
      <c r="B148" s="461" t="s">
        <v>134</v>
      </c>
      <c r="C148" s="441" t="s">
        <v>432</v>
      </c>
      <c r="D148" s="462">
        <f>122000000+'Project detail capital'!F114</f>
        <v>132000000</v>
      </c>
      <c r="E148" s="462">
        <f t="shared" si="8"/>
        <v>132000000</v>
      </c>
    </row>
    <row r="149" spans="1:5" ht="15" thickBot="1" x14ac:dyDescent="0.35">
      <c r="A149" s="461">
        <v>114</v>
      </c>
      <c r="B149" s="461" t="s">
        <v>197</v>
      </c>
      <c r="C149" s="441" t="s">
        <v>992</v>
      </c>
      <c r="D149" s="529" t="s">
        <v>986</v>
      </c>
      <c r="E149" s="462" t="str">
        <f t="shared" si="8"/>
        <v xml:space="preserve">                                    -   </v>
      </c>
    </row>
    <row r="150" spans="1:5" ht="15" thickBot="1" x14ac:dyDescent="0.35">
      <c r="A150" s="475"/>
      <c r="B150" s="475" t="s">
        <v>909</v>
      </c>
      <c r="C150" s="476" t="s">
        <v>910</v>
      </c>
      <c r="D150" s="532">
        <f>SUM(D152:D152)</f>
        <v>1580000000</v>
      </c>
      <c r="E150" s="532">
        <f t="shared" si="8"/>
        <v>1580000000</v>
      </c>
    </row>
    <row r="151" spans="1:5" ht="15" thickBot="1" x14ac:dyDescent="0.35">
      <c r="A151" s="450"/>
      <c r="B151" s="450"/>
      <c r="C151" s="472" t="s">
        <v>1040</v>
      </c>
      <c r="D151" s="533"/>
      <c r="E151" s="533"/>
    </row>
    <row r="152" spans="1:5" ht="15" thickBot="1" x14ac:dyDescent="0.35">
      <c r="A152" s="470">
        <v>115</v>
      </c>
      <c r="B152" s="461" t="s">
        <v>580</v>
      </c>
      <c r="C152" s="441" t="s">
        <v>910</v>
      </c>
      <c r="D152" s="462">
        <v>1580000000</v>
      </c>
      <c r="E152" s="462">
        <f t="shared" si="8"/>
        <v>1580000000</v>
      </c>
    </row>
    <row r="153" spans="1:5" ht="15" thickBot="1" x14ac:dyDescent="0.35">
      <c r="A153" s="456"/>
      <c r="B153" s="456" t="s">
        <v>911</v>
      </c>
      <c r="C153" s="457" t="s">
        <v>912</v>
      </c>
      <c r="D153" s="526">
        <f>D154+D162</f>
        <v>1443529000</v>
      </c>
      <c r="E153" s="526">
        <f t="shared" si="8"/>
        <v>1443529000</v>
      </c>
    </row>
    <row r="154" spans="1:5" ht="15" thickBot="1" x14ac:dyDescent="0.35">
      <c r="A154" s="459"/>
      <c r="B154" s="459" t="s">
        <v>913</v>
      </c>
      <c r="C154" s="442" t="s">
        <v>914</v>
      </c>
      <c r="D154" s="521">
        <f>SUM(D155:D161)</f>
        <v>895000000</v>
      </c>
      <c r="E154" s="521">
        <f t="shared" si="8"/>
        <v>895000000</v>
      </c>
    </row>
    <row r="155" spans="1:5" ht="15" thickBot="1" x14ac:dyDescent="0.35">
      <c r="A155" s="470">
        <v>116</v>
      </c>
      <c r="B155" s="461" t="s">
        <v>68</v>
      </c>
      <c r="C155" s="441" t="s">
        <v>914</v>
      </c>
      <c r="D155" s="462">
        <f>880000000-'Pooled Fund detail Capital'!H41</f>
        <v>780000000</v>
      </c>
      <c r="E155" s="462">
        <f t="shared" si="8"/>
        <v>780000000</v>
      </c>
    </row>
    <row r="156" spans="1:5" ht="15" thickBot="1" x14ac:dyDescent="0.35">
      <c r="A156" s="467">
        <v>117</v>
      </c>
      <c r="B156" s="461" t="s">
        <v>581</v>
      </c>
      <c r="C156" s="441" t="s">
        <v>915</v>
      </c>
      <c r="D156" s="462">
        <v>100000000</v>
      </c>
      <c r="E156" s="462">
        <f t="shared" ref="E156:E165" si="9">D156</f>
        <v>100000000</v>
      </c>
    </row>
    <row r="157" spans="1:5" ht="15" thickBot="1" x14ac:dyDescent="0.35">
      <c r="A157" s="470">
        <v>118</v>
      </c>
      <c r="B157" s="461" t="s">
        <v>582</v>
      </c>
      <c r="C157" s="441" t="s">
        <v>993</v>
      </c>
      <c r="D157" s="529" t="s">
        <v>986</v>
      </c>
      <c r="E157" s="462" t="str">
        <f t="shared" si="9"/>
        <v xml:space="preserve">                                    -   </v>
      </c>
    </row>
    <row r="158" spans="1:5" ht="15" thickBot="1" x14ac:dyDescent="0.35">
      <c r="A158" s="467">
        <v>119</v>
      </c>
      <c r="B158" s="461" t="s">
        <v>135</v>
      </c>
      <c r="C158" s="441" t="s">
        <v>916</v>
      </c>
      <c r="D158" s="462">
        <v>15000000</v>
      </c>
      <c r="E158" s="462">
        <f t="shared" si="9"/>
        <v>15000000</v>
      </c>
    </row>
    <row r="159" spans="1:5" ht="15" thickBot="1" x14ac:dyDescent="0.35">
      <c r="A159" s="470">
        <v>120</v>
      </c>
      <c r="B159" s="461" t="s">
        <v>136</v>
      </c>
      <c r="C159" s="441" t="s">
        <v>917</v>
      </c>
      <c r="D159" s="529" t="s">
        <v>986</v>
      </c>
      <c r="E159" s="462" t="str">
        <f t="shared" si="9"/>
        <v xml:space="preserve">                                    -   </v>
      </c>
    </row>
    <row r="160" spans="1:5" ht="15" thickBot="1" x14ac:dyDescent="0.35">
      <c r="A160" s="467">
        <v>121</v>
      </c>
      <c r="B160" s="461" t="s">
        <v>137</v>
      </c>
      <c r="C160" s="441" t="s">
        <v>918</v>
      </c>
      <c r="D160" s="529" t="s">
        <v>986</v>
      </c>
      <c r="E160" s="462" t="str">
        <f t="shared" si="9"/>
        <v xml:space="preserve">                                    -   </v>
      </c>
    </row>
    <row r="161" spans="1:5" ht="15" thickBot="1" x14ac:dyDescent="0.35">
      <c r="A161" s="470">
        <v>122</v>
      </c>
      <c r="B161" s="461" t="s">
        <v>583</v>
      </c>
      <c r="C161" s="441" t="s">
        <v>919</v>
      </c>
      <c r="D161" s="529" t="s">
        <v>986</v>
      </c>
      <c r="E161" s="462" t="str">
        <f t="shared" si="9"/>
        <v xml:space="preserve">                                    -   </v>
      </c>
    </row>
    <row r="162" spans="1:5" ht="15" thickBot="1" x14ac:dyDescent="0.35">
      <c r="A162" s="461"/>
      <c r="B162" s="459" t="s">
        <v>920</v>
      </c>
      <c r="C162" s="442" t="s">
        <v>921</v>
      </c>
      <c r="D162" s="521">
        <f>SUM(D163:D165)</f>
        <v>548529000</v>
      </c>
      <c r="E162" s="521">
        <f>D162</f>
        <v>548529000</v>
      </c>
    </row>
    <row r="163" spans="1:5" ht="15" thickBot="1" x14ac:dyDescent="0.35">
      <c r="A163" s="461">
        <v>123</v>
      </c>
      <c r="B163" s="461" t="s">
        <v>59</v>
      </c>
      <c r="C163" s="441" t="s">
        <v>921</v>
      </c>
      <c r="D163" s="462">
        <f>466000000-'Pooled Fund detail Capital'!H66</f>
        <v>316000000</v>
      </c>
      <c r="E163" s="462">
        <f t="shared" si="9"/>
        <v>316000000</v>
      </c>
    </row>
    <row r="164" spans="1:5" ht="15" thickBot="1" x14ac:dyDescent="0.35">
      <c r="A164" s="461">
        <v>124</v>
      </c>
      <c r="B164" s="461" t="s">
        <v>138</v>
      </c>
      <c r="C164" s="441" t="s">
        <v>922</v>
      </c>
      <c r="D164" s="462">
        <v>228529000</v>
      </c>
      <c r="E164" s="462">
        <f t="shared" si="9"/>
        <v>228529000</v>
      </c>
    </row>
    <row r="165" spans="1:5" ht="15" thickBot="1" x14ac:dyDescent="0.35">
      <c r="A165" s="461">
        <v>125</v>
      </c>
      <c r="B165" s="461" t="s">
        <v>584</v>
      </c>
      <c r="C165" s="441" t="s">
        <v>923</v>
      </c>
      <c r="D165" s="462">
        <v>4000000</v>
      </c>
      <c r="E165" s="462">
        <f t="shared" si="9"/>
        <v>4000000</v>
      </c>
    </row>
    <row r="166" spans="1:5" ht="15" thickBot="1" x14ac:dyDescent="0.35">
      <c r="A166" s="456"/>
      <c r="B166" s="456" t="s">
        <v>924</v>
      </c>
      <c r="C166" s="457" t="s">
        <v>925</v>
      </c>
      <c r="D166" s="526">
        <f>D167</f>
        <v>300000000</v>
      </c>
      <c r="E166" s="526">
        <f>D166</f>
        <v>300000000</v>
      </c>
    </row>
    <row r="167" spans="1:5" ht="15" thickBot="1" x14ac:dyDescent="0.35">
      <c r="A167" s="461"/>
      <c r="B167" s="459" t="s">
        <v>926</v>
      </c>
      <c r="C167" s="442" t="s">
        <v>769</v>
      </c>
      <c r="D167" s="521">
        <f>SUM(D168:D169)</f>
        <v>300000000</v>
      </c>
      <c r="E167" s="521">
        <f>D167</f>
        <v>300000000</v>
      </c>
    </row>
    <row r="168" spans="1:5" ht="15" thickBot="1" x14ac:dyDescent="0.35">
      <c r="A168" s="461">
        <v>126</v>
      </c>
      <c r="B168" s="461" t="s">
        <v>927</v>
      </c>
      <c r="C168" s="441" t="s">
        <v>769</v>
      </c>
      <c r="D168" s="529" t="s">
        <v>986</v>
      </c>
      <c r="E168" s="462" t="str">
        <f t="shared" ref="E168:E169" si="10">D168</f>
        <v xml:space="preserve">                                    -   </v>
      </c>
    </row>
    <row r="169" spans="1:5" ht="15" thickBot="1" x14ac:dyDescent="0.35">
      <c r="A169" s="461">
        <v>127</v>
      </c>
      <c r="B169" s="461" t="s">
        <v>585</v>
      </c>
      <c r="C169" s="441" t="s">
        <v>928</v>
      </c>
      <c r="D169" s="462">
        <v>300000000</v>
      </c>
      <c r="E169" s="462">
        <f t="shared" si="10"/>
        <v>300000000</v>
      </c>
    </row>
    <row r="170" spans="1:5" ht="15" thickBot="1" x14ac:dyDescent="0.35">
      <c r="A170" s="456"/>
      <c r="B170" s="456" t="s">
        <v>929</v>
      </c>
      <c r="C170" s="457" t="s">
        <v>930</v>
      </c>
      <c r="D170" s="526">
        <f>D171+D174+D180+D205+D220+D225+D228+D231</f>
        <v>15571387750</v>
      </c>
      <c r="E170" s="526">
        <f>D170</f>
        <v>15571387750</v>
      </c>
    </row>
    <row r="171" spans="1:5" ht="15" thickBot="1" x14ac:dyDescent="0.35">
      <c r="A171" s="459"/>
      <c r="B171" s="459" t="s">
        <v>931</v>
      </c>
      <c r="C171" s="442" t="s">
        <v>270</v>
      </c>
      <c r="D171" s="521">
        <f>SUM(D172:D173)</f>
        <v>44000000</v>
      </c>
      <c r="E171" s="521">
        <f>D171</f>
        <v>44000000</v>
      </c>
    </row>
    <row r="172" spans="1:5" ht="15" thickBot="1" x14ac:dyDescent="0.35">
      <c r="A172" s="461">
        <v>128</v>
      </c>
      <c r="B172" s="461" t="s">
        <v>139</v>
      </c>
      <c r="C172" s="441" t="s">
        <v>270</v>
      </c>
      <c r="D172" s="462">
        <f>15000000+'Project detail capital'!F120</f>
        <v>24000000</v>
      </c>
      <c r="E172" s="462">
        <f t="shared" ref="E172:E179" si="11">D172</f>
        <v>24000000</v>
      </c>
    </row>
    <row r="173" spans="1:5" ht="15" thickBot="1" x14ac:dyDescent="0.35">
      <c r="A173" s="461">
        <v>129</v>
      </c>
      <c r="B173" s="461" t="s">
        <v>140</v>
      </c>
      <c r="C173" s="441" t="s">
        <v>932</v>
      </c>
      <c r="D173" s="462">
        <v>20000000</v>
      </c>
      <c r="E173" s="462">
        <f t="shared" si="11"/>
        <v>20000000</v>
      </c>
    </row>
    <row r="174" spans="1:5" ht="15" thickBot="1" x14ac:dyDescent="0.35">
      <c r="A174" s="461"/>
      <c r="B174" s="459" t="s">
        <v>933</v>
      </c>
      <c r="C174" s="442" t="s">
        <v>586</v>
      </c>
      <c r="D174" s="521">
        <f>SUM(D175:D179)</f>
        <v>180040000</v>
      </c>
      <c r="E174" s="521">
        <f>D174</f>
        <v>180040000</v>
      </c>
    </row>
    <row r="175" spans="1:5" ht="15" thickBot="1" x14ac:dyDescent="0.35">
      <c r="A175" s="461">
        <v>130</v>
      </c>
      <c r="B175" s="461" t="s">
        <v>141</v>
      </c>
      <c r="C175" s="441" t="s">
        <v>586</v>
      </c>
      <c r="D175" s="462">
        <v>43000000</v>
      </c>
      <c r="E175" s="462">
        <f t="shared" si="11"/>
        <v>43000000</v>
      </c>
    </row>
    <row r="176" spans="1:5" ht="15" thickBot="1" x14ac:dyDescent="0.35">
      <c r="A176" s="461">
        <v>131</v>
      </c>
      <c r="B176" s="461" t="s">
        <v>142</v>
      </c>
      <c r="C176" s="441" t="s">
        <v>934</v>
      </c>
      <c r="D176" s="462">
        <v>13200000</v>
      </c>
      <c r="E176" s="462">
        <f t="shared" si="11"/>
        <v>13200000</v>
      </c>
    </row>
    <row r="177" spans="1:5" ht="15" thickBot="1" x14ac:dyDescent="0.35">
      <c r="A177" s="461">
        <v>132</v>
      </c>
      <c r="B177" s="461" t="s">
        <v>587</v>
      </c>
      <c r="C177" s="441" t="s">
        <v>935</v>
      </c>
      <c r="D177" s="529" t="s">
        <v>986</v>
      </c>
      <c r="E177" s="462" t="str">
        <f t="shared" si="11"/>
        <v xml:space="preserve">                                    -   </v>
      </c>
    </row>
    <row r="178" spans="1:5" ht="15" thickBot="1" x14ac:dyDescent="0.35">
      <c r="A178" s="461">
        <v>133</v>
      </c>
      <c r="B178" s="463" t="s">
        <v>704</v>
      </c>
      <c r="C178" s="441" t="s">
        <v>688</v>
      </c>
      <c r="D178" s="516">
        <f>'Project detail capital'!F124</f>
        <v>50000000</v>
      </c>
      <c r="E178" s="462">
        <f t="shared" si="11"/>
        <v>50000000</v>
      </c>
    </row>
    <row r="179" spans="1:5" ht="15" thickBot="1" x14ac:dyDescent="0.35">
      <c r="A179" s="461">
        <v>134</v>
      </c>
      <c r="B179" s="461" t="s">
        <v>588</v>
      </c>
      <c r="C179" s="441" t="s">
        <v>936</v>
      </c>
      <c r="D179" s="462">
        <v>73840000</v>
      </c>
      <c r="E179" s="462">
        <f t="shared" si="11"/>
        <v>73840000</v>
      </c>
    </row>
    <row r="180" spans="1:5" ht="15" thickBot="1" x14ac:dyDescent="0.35">
      <c r="A180" s="470"/>
      <c r="B180" s="475" t="s">
        <v>937</v>
      </c>
      <c r="C180" s="476" t="s">
        <v>788</v>
      </c>
      <c r="D180" s="532">
        <f>SUM(D182:D204)</f>
        <v>5724780000</v>
      </c>
      <c r="E180" s="532">
        <f>D180</f>
        <v>5724780000</v>
      </c>
    </row>
    <row r="181" spans="1:5" x14ac:dyDescent="0.3">
      <c r="A181" s="469"/>
      <c r="B181" s="450"/>
      <c r="C181" s="472" t="s">
        <v>1041</v>
      </c>
      <c r="D181" s="533"/>
      <c r="E181" s="533"/>
    </row>
    <row r="182" spans="1:5" ht="15" thickBot="1" x14ac:dyDescent="0.35">
      <c r="A182" s="461">
        <v>135</v>
      </c>
      <c r="B182" s="461" t="s">
        <v>67</v>
      </c>
      <c r="C182" s="441" t="s">
        <v>788</v>
      </c>
      <c r="D182" s="462">
        <v>1099000000</v>
      </c>
      <c r="E182" s="462">
        <f>D182</f>
        <v>1099000000</v>
      </c>
    </row>
    <row r="183" spans="1:5" ht="15" thickBot="1" x14ac:dyDescent="0.35">
      <c r="A183" s="466" t="s">
        <v>1022</v>
      </c>
      <c r="B183" s="461" t="s">
        <v>143</v>
      </c>
      <c r="C183" s="441" t="s">
        <v>938</v>
      </c>
      <c r="D183" s="529" t="s">
        <v>986</v>
      </c>
      <c r="E183" s="462" t="str">
        <f t="shared" ref="E183:E204" si="12">D183</f>
        <v xml:space="preserve">                                    -   </v>
      </c>
    </row>
    <row r="184" spans="1:5" ht="15" thickBot="1" x14ac:dyDescent="0.35">
      <c r="A184" s="461">
        <v>136</v>
      </c>
      <c r="B184" s="461" t="s">
        <v>144</v>
      </c>
      <c r="C184" s="441" t="s">
        <v>939</v>
      </c>
      <c r="D184" s="529" t="s">
        <v>986</v>
      </c>
      <c r="E184" s="462" t="str">
        <f t="shared" si="12"/>
        <v xml:space="preserve">                                    -   </v>
      </c>
    </row>
    <row r="185" spans="1:5" ht="15" thickBot="1" x14ac:dyDescent="0.35">
      <c r="A185" s="466" t="s">
        <v>1023</v>
      </c>
      <c r="B185" s="461" t="s">
        <v>145</v>
      </c>
      <c r="C185" s="441" t="s">
        <v>940</v>
      </c>
      <c r="D185" s="462">
        <f>4158280000-'Pooled Fund detail Capital'!H35</f>
        <v>4140280000</v>
      </c>
      <c r="E185" s="462">
        <f t="shared" si="12"/>
        <v>4140280000</v>
      </c>
    </row>
    <row r="186" spans="1:5" ht="15" thickBot="1" x14ac:dyDescent="0.35">
      <c r="A186" s="461">
        <v>137</v>
      </c>
      <c r="B186" s="461" t="s">
        <v>146</v>
      </c>
      <c r="C186" s="441" t="s">
        <v>941</v>
      </c>
      <c r="D186" s="529" t="s">
        <v>986</v>
      </c>
      <c r="E186" s="462" t="str">
        <f t="shared" si="12"/>
        <v xml:space="preserve">                                    -   </v>
      </c>
    </row>
    <row r="187" spans="1:5" ht="15" thickBot="1" x14ac:dyDescent="0.35">
      <c r="A187" s="466" t="s">
        <v>1024</v>
      </c>
      <c r="B187" s="461" t="s">
        <v>147</v>
      </c>
      <c r="C187" s="441" t="s">
        <v>942</v>
      </c>
      <c r="D187" s="529" t="s">
        <v>986</v>
      </c>
      <c r="E187" s="462" t="str">
        <f t="shared" si="12"/>
        <v xml:space="preserve">                                    -   </v>
      </c>
    </row>
    <row r="188" spans="1:5" ht="15" thickBot="1" x14ac:dyDescent="0.35">
      <c r="A188" s="461">
        <v>138</v>
      </c>
      <c r="B188" s="461" t="s">
        <v>148</v>
      </c>
      <c r="C188" s="441" t="s">
        <v>943</v>
      </c>
      <c r="D188" s="462">
        <v>20000000</v>
      </c>
      <c r="E188" s="462">
        <f t="shared" si="12"/>
        <v>20000000</v>
      </c>
    </row>
    <row r="189" spans="1:5" ht="15" thickBot="1" x14ac:dyDescent="0.35">
      <c r="A189" s="466" t="s">
        <v>1025</v>
      </c>
      <c r="B189" s="461" t="s">
        <v>168</v>
      </c>
      <c r="C189" s="441" t="s">
        <v>944</v>
      </c>
      <c r="D189" s="462">
        <v>70000000</v>
      </c>
      <c r="E189" s="462">
        <f t="shared" si="12"/>
        <v>70000000</v>
      </c>
    </row>
    <row r="190" spans="1:5" ht="15" thickBot="1" x14ac:dyDescent="0.35">
      <c r="A190" s="461">
        <v>139</v>
      </c>
      <c r="B190" s="461" t="s">
        <v>169</v>
      </c>
      <c r="C190" s="441" t="s">
        <v>945</v>
      </c>
      <c r="D190" s="462">
        <f>150000000-'Pooled Fund detail Capital'!H38</f>
        <v>80000000</v>
      </c>
      <c r="E190" s="462">
        <f t="shared" si="12"/>
        <v>80000000</v>
      </c>
    </row>
    <row r="191" spans="1:5" ht="15" thickBot="1" x14ac:dyDescent="0.35">
      <c r="A191" s="466" t="s">
        <v>1026</v>
      </c>
      <c r="B191" s="461" t="s">
        <v>170</v>
      </c>
      <c r="C191" s="441" t="s">
        <v>946</v>
      </c>
      <c r="D191" s="462">
        <f>120000000-'Pooled Fund detail Capital'!H69</f>
        <v>80000000</v>
      </c>
      <c r="E191" s="462">
        <f t="shared" si="12"/>
        <v>80000000</v>
      </c>
    </row>
    <row r="192" spans="1:5" ht="15" thickBot="1" x14ac:dyDescent="0.35">
      <c r="A192" s="461">
        <v>140</v>
      </c>
      <c r="B192" s="461" t="s">
        <v>171</v>
      </c>
      <c r="C192" s="441" t="s">
        <v>947</v>
      </c>
      <c r="D192" s="462">
        <v>100000000</v>
      </c>
      <c r="E192" s="462">
        <f t="shared" si="12"/>
        <v>100000000</v>
      </c>
    </row>
    <row r="193" spans="1:5" ht="15" thickBot="1" x14ac:dyDescent="0.35">
      <c r="A193" s="466" t="s">
        <v>1027</v>
      </c>
      <c r="B193" s="461" t="s">
        <v>149</v>
      </c>
      <c r="C193" s="441" t="s">
        <v>948</v>
      </c>
      <c r="D193" s="462">
        <v>20000000</v>
      </c>
      <c r="E193" s="462">
        <f t="shared" si="12"/>
        <v>20000000</v>
      </c>
    </row>
    <row r="194" spans="1:5" ht="15" thickBot="1" x14ac:dyDescent="0.35">
      <c r="A194" s="461">
        <v>141</v>
      </c>
      <c r="B194" s="461" t="s">
        <v>150</v>
      </c>
      <c r="C194" s="441" t="s">
        <v>949</v>
      </c>
      <c r="D194" s="462">
        <v>1500000</v>
      </c>
      <c r="E194" s="462">
        <f t="shared" si="12"/>
        <v>1500000</v>
      </c>
    </row>
    <row r="195" spans="1:5" ht="15" thickBot="1" x14ac:dyDescent="0.35">
      <c r="A195" s="466" t="s">
        <v>1028</v>
      </c>
      <c r="B195" s="461" t="s">
        <v>151</v>
      </c>
      <c r="C195" s="441" t="s">
        <v>950</v>
      </c>
      <c r="D195" s="462">
        <v>1000000</v>
      </c>
      <c r="E195" s="462">
        <f t="shared" si="12"/>
        <v>1000000</v>
      </c>
    </row>
    <row r="196" spans="1:5" ht="15" thickBot="1" x14ac:dyDescent="0.35">
      <c r="A196" s="461">
        <v>142</v>
      </c>
      <c r="B196" s="461" t="s">
        <v>152</v>
      </c>
      <c r="C196" s="441" t="s">
        <v>951</v>
      </c>
      <c r="D196" s="462">
        <v>1000000</v>
      </c>
      <c r="E196" s="462">
        <f t="shared" si="12"/>
        <v>1000000</v>
      </c>
    </row>
    <row r="197" spans="1:5" ht="15" thickBot="1" x14ac:dyDescent="0.35">
      <c r="A197" s="466" t="s">
        <v>1029</v>
      </c>
      <c r="B197" s="461" t="s">
        <v>153</v>
      </c>
      <c r="C197" s="441" t="s">
        <v>952</v>
      </c>
      <c r="D197" s="462">
        <v>1000000</v>
      </c>
      <c r="E197" s="462">
        <f t="shared" si="12"/>
        <v>1000000</v>
      </c>
    </row>
    <row r="198" spans="1:5" ht="15" thickBot="1" x14ac:dyDescent="0.35">
      <c r="A198" s="461">
        <v>143</v>
      </c>
      <c r="B198" s="461" t="s">
        <v>154</v>
      </c>
      <c r="C198" s="441" t="s">
        <v>953</v>
      </c>
      <c r="D198" s="462">
        <v>500000</v>
      </c>
      <c r="E198" s="462">
        <f t="shared" si="12"/>
        <v>500000</v>
      </c>
    </row>
    <row r="199" spans="1:5" ht="15" thickBot="1" x14ac:dyDescent="0.35">
      <c r="A199" s="466" t="s">
        <v>1030</v>
      </c>
      <c r="B199" s="461" t="s">
        <v>155</v>
      </c>
      <c r="C199" s="441" t="s">
        <v>954</v>
      </c>
      <c r="D199" s="462">
        <v>1000000</v>
      </c>
      <c r="E199" s="462">
        <f t="shared" si="12"/>
        <v>1000000</v>
      </c>
    </row>
    <row r="200" spans="1:5" ht="15" thickBot="1" x14ac:dyDescent="0.35">
      <c r="A200" s="461">
        <v>144</v>
      </c>
      <c r="B200" s="461" t="s">
        <v>156</v>
      </c>
      <c r="C200" s="441" t="s">
        <v>955</v>
      </c>
      <c r="D200" s="462">
        <v>1500000</v>
      </c>
      <c r="E200" s="462">
        <f t="shared" si="12"/>
        <v>1500000</v>
      </c>
    </row>
    <row r="201" spans="1:5" ht="15" thickBot="1" x14ac:dyDescent="0.35">
      <c r="A201" s="466" t="s">
        <v>1031</v>
      </c>
      <c r="B201" s="461" t="s">
        <v>157</v>
      </c>
      <c r="C201" s="441" t="s">
        <v>956</v>
      </c>
      <c r="D201" s="462">
        <v>1500000</v>
      </c>
      <c r="E201" s="462">
        <f t="shared" si="12"/>
        <v>1500000</v>
      </c>
    </row>
    <row r="202" spans="1:5" ht="15" thickBot="1" x14ac:dyDescent="0.35">
      <c r="A202" s="461">
        <v>145</v>
      </c>
      <c r="B202" s="461" t="s">
        <v>158</v>
      </c>
      <c r="C202" s="441" t="s">
        <v>957</v>
      </c>
      <c r="D202" s="462">
        <v>1500000</v>
      </c>
      <c r="E202" s="462">
        <f t="shared" si="12"/>
        <v>1500000</v>
      </c>
    </row>
    <row r="203" spans="1:5" ht="15" thickBot="1" x14ac:dyDescent="0.35">
      <c r="A203" s="466" t="s">
        <v>1032</v>
      </c>
      <c r="B203" s="461" t="s">
        <v>198</v>
      </c>
      <c r="C203" s="441" t="s">
        <v>958</v>
      </c>
      <c r="D203" s="462">
        <v>85000000</v>
      </c>
      <c r="E203" s="462">
        <f t="shared" si="12"/>
        <v>85000000</v>
      </c>
    </row>
    <row r="204" spans="1:5" ht="15" thickBot="1" x14ac:dyDescent="0.35">
      <c r="A204" s="461">
        <v>146</v>
      </c>
      <c r="B204" s="461" t="s">
        <v>159</v>
      </c>
      <c r="C204" s="441" t="s">
        <v>959</v>
      </c>
      <c r="D204" s="462">
        <v>20000000</v>
      </c>
      <c r="E204" s="462">
        <f t="shared" si="12"/>
        <v>20000000</v>
      </c>
    </row>
    <row r="205" spans="1:5" ht="15" thickBot="1" x14ac:dyDescent="0.35">
      <c r="A205" s="461"/>
      <c r="B205" s="459" t="s">
        <v>960</v>
      </c>
      <c r="C205" s="442" t="s">
        <v>961</v>
      </c>
      <c r="D205" s="521">
        <f>SUM(D206:D219)</f>
        <v>5437759000</v>
      </c>
      <c r="E205" s="521">
        <f>D205</f>
        <v>5437759000</v>
      </c>
    </row>
    <row r="206" spans="1:5" ht="15" thickBot="1" x14ac:dyDescent="0.35">
      <c r="A206" s="461">
        <v>147</v>
      </c>
      <c r="B206" s="461" t="s">
        <v>41</v>
      </c>
      <c r="C206" s="441" t="s">
        <v>961</v>
      </c>
      <c r="D206" s="462">
        <f>1038500000-'Pooled Fund detail Capital'!H10</f>
        <v>998500000</v>
      </c>
      <c r="E206" s="462">
        <f>D206</f>
        <v>998500000</v>
      </c>
    </row>
    <row r="207" spans="1:5" ht="15" thickBot="1" x14ac:dyDescent="0.35">
      <c r="A207" s="461">
        <v>148</v>
      </c>
      <c r="B207" s="461" t="s">
        <v>199</v>
      </c>
      <c r="C207" s="441" t="s">
        <v>962</v>
      </c>
      <c r="D207" s="529" t="s">
        <v>986</v>
      </c>
      <c r="E207" s="462" t="str">
        <f t="shared" ref="E207:E219" si="13">D207</f>
        <v xml:space="preserve">                                    -   </v>
      </c>
    </row>
    <row r="208" spans="1:5" ht="15" thickBot="1" x14ac:dyDescent="0.35">
      <c r="A208" s="461">
        <v>149</v>
      </c>
      <c r="B208" s="461" t="s">
        <v>202</v>
      </c>
      <c r="C208" s="441" t="s">
        <v>963</v>
      </c>
      <c r="D208" s="462">
        <v>20000000</v>
      </c>
      <c r="E208" s="462">
        <f t="shared" si="13"/>
        <v>20000000</v>
      </c>
    </row>
    <row r="209" spans="1:5" ht="15" thickBot="1" x14ac:dyDescent="0.35">
      <c r="A209" s="461">
        <v>150</v>
      </c>
      <c r="B209" s="461" t="s">
        <v>188</v>
      </c>
      <c r="C209" s="441" t="s">
        <v>964</v>
      </c>
      <c r="D209" s="462">
        <f>1892668000-'Pooled Fund detail Capital'!H62</f>
        <v>1142668000</v>
      </c>
      <c r="E209" s="462">
        <f t="shared" si="13"/>
        <v>1142668000</v>
      </c>
    </row>
    <row r="210" spans="1:5" ht="15" thickBot="1" x14ac:dyDescent="0.35">
      <c r="A210" s="470">
        <v>151</v>
      </c>
      <c r="B210" s="470" t="s">
        <v>61</v>
      </c>
      <c r="C210" s="471" t="s">
        <v>965</v>
      </c>
      <c r="D210" s="518">
        <v>78657000</v>
      </c>
      <c r="E210" s="518">
        <f t="shared" si="13"/>
        <v>78657000</v>
      </c>
    </row>
    <row r="211" spans="1:5" x14ac:dyDescent="0.3">
      <c r="A211" s="469"/>
      <c r="B211" s="469"/>
      <c r="C211" s="472" t="s">
        <v>1042</v>
      </c>
      <c r="D211" s="520"/>
      <c r="E211" s="520"/>
    </row>
    <row r="212" spans="1:5" ht="15" thickBot="1" x14ac:dyDescent="0.35">
      <c r="A212" s="461">
        <v>152</v>
      </c>
      <c r="B212" s="461" t="s">
        <v>52</v>
      </c>
      <c r="C212" s="441" t="s">
        <v>966</v>
      </c>
      <c r="D212" s="462">
        <f>2683883000+'Project detail capital'!F130</f>
        <v>2859865000</v>
      </c>
      <c r="E212" s="462">
        <f t="shared" si="13"/>
        <v>2859865000</v>
      </c>
    </row>
    <row r="213" spans="1:5" ht="15" thickBot="1" x14ac:dyDescent="0.35">
      <c r="A213" s="461">
        <v>153</v>
      </c>
      <c r="B213" s="461" t="s">
        <v>160</v>
      </c>
      <c r="C213" s="441" t="s">
        <v>967</v>
      </c>
      <c r="D213" s="462">
        <v>200000000</v>
      </c>
      <c r="E213" s="462">
        <f t="shared" si="13"/>
        <v>200000000</v>
      </c>
    </row>
    <row r="214" spans="1:5" ht="15" thickBot="1" x14ac:dyDescent="0.35">
      <c r="A214" s="461">
        <v>154</v>
      </c>
      <c r="B214" s="461" t="s">
        <v>968</v>
      </c>
      <c r="C214" s="441" t="s">
        <v>969</v>
      </c>
      <c r="D214" s="529" t="s">
        <v>986</v>
      </c>
      <c r="E214" s="462" t="str">
        <f t="shared" si="13"/>
        <v xml:space="preserve">                                    -   </v>
      </c>
    </row>
    <row r="215" spans="1:5" ht="15" thickBot="1" x14ac:dyDescent="0.35">
      <c r="A215" s="461">
        <v>155</v>
      </c>
      <c r="B215" s="461" t="s">
        <v>161</v>
      </c>
      <c r="C215" s="441" t="s">
        <v>970</v>
      </c>
      <c r="D215" s="462">
        <v>2000000</v>
      </c>
      <c r="E215" s="462">
        <f t="shared" si="13"/>
        <v>2000000</v>
      </c>
    </row>
    <row r="216" spans="1:5" ht="15" thickBot="1" x14ac:dyDescent="0.35">
      <c r="A216" s="461">
        <v>156</v>
      </c>
      <c r="B216" s="461" t="s">
        <v>162</v>
      </c>
      <c r="C216" s="441" t="s">
        <v>994</v>
      </c>
      <c r="D216" s="462">
        <v>2793000</v>
      </c>
      <c r="E216" s="462">
        <f t="shared" si="13"/>
        <v>2793000</v>
      </c>
    </row>
    <row r="217" spans="1:5" ht="15" thickBot="1" x14ac:dyDescent="0.35">
      <c r="A217" s="461">
        <v>157</v>
      </c>
      <c r="B217" s="461" t="s">
        <v>163</v>
      </c>
      <c r="C217" s="441" t="s">
        <v>971</v>
      </c>
      <c r="D217" s="462">
        <v>23276000</v>
      </c>
      <c r="E217" s="462">
        <f t="shared" si="13"/>
        <v>23276000</v>
      </c>
    </row>
    <row r="218" spans="1:5" ht="15" thickBot="1" x14ac:dyDescent="0.35">
      <c r="A218" s="461">
        <v>158</v>
      </c>
      <c r="B218" s="461" t="s">
        <v>164</v>
      </c>
      <c r="C218" s="441" t="s">
        <v>972</v>
      </c>
      <c r="D218" s="462">
        <v>100000000</v>
      </c>
      <c r="E218" s="462">
        <f t="shared" si="13"/>
        <v>100000000</v>
      </c>
    </row>
    <row r="219" spans="1:5" ht="15" thickBot="1" x14ac:dyDescent="0.35">
      <c r="A219" s="461">
        <v>159</v>
      </c>
      <c r="B219" s="461" t="s">
        <v>179</v>
      </c>
      <c r="C219" s="441" t="s">
        <v>973</v>
      </c>
      <c r="D219" s="462">
        <v>10000000</v>
      </c>
      <c r="E219" s="462">
        <f t="shared" si="13"/>
        <v>10000000</v>
      </c>
    </row>
    <row r="220" spans="1:5" ht="15" thickBot="1" x14ac:dyDescent="0.35">
      <c r="A220" s="461"/>
      <c r="B220" s="459" t="s">
        <v>974</v>
      </c>
      <c r="C220" s="442" t="s">
        <v>302</v>
      </c>
      <c r="D220" s="521">
        <f>SUM(D221:D224)</f>
        <v>2520661750</v>
      </c>
      <c r="E220" s="521">
        <f>D220</f>
        <v>2520661750</v>
      </c>
    </row>
    <row r="221" spans="1:5" ht="15" thickBot="1" x14ac:dyDescent="0.35">
      <c r="A221" s="461">
        <v>160</v>
      </c>
      <c r="B221" s="461" t="s">
        <v>64</v>
      </c>
      <c r="C221" s="441" t="s">
        <v>302</v>
      </c>
      <c r="D221" s="462">
        <f>309117000-'Pooled Fund detail Capital'!H13+'Project detail capital'!F138</f>
        <v>631395750</v>
      </c>
      <c r="E221" s="462">
        <f>D221</f>
        <v>631395750</v>
      </c>
    </row>
    <row r="222" spans="1:5" ht="15" thickBot="1" x14ac:dyDescent="0.35">
      <c r="A222" s="461">
        <v>161</v>
      </c>
      <c r="B222" s="461" t="s">
        <v>165</v>
      </c>
      <c r="C222" s="441" t="s">
        <v>975</v>
      </c>
      <c r="D222" s="462">
        <f>2800000000-'Pooled Fund detail Capital'!H107</f>
        <v>1300000000</v>
      </c>
      <c r="E222" s="462">
        <f t="shared" ref="E222:E224" si="14">D222</f>
        <v>1300000000</v>
      </c>
    </row>
    <row r="223" spans="1:5" ht="15" thickBot="1" x14ac:dyDescent="0.35">
      <c r="A223" s="461">
        <v>162</v>
      </c>
      <c r="B223" s="463" t="s">
        <v>515</v>
      </c>
      <c r="C223" s="441" t="s">
        <v>612</v>
      </c>
      <c r="D223" s="462">
        <f>'Project detail capital'!F146</f>
        <v>10266000</v>
      </c>
      <c r="E223" s="462">
        <f t="shared" si="14"/>
        <v>10266000</v>
      </c>
    </row>
    <row r="224" spans="1:5" ht="15" thickBot="1" x14ac:dyDescent="0.35">
      <c r="A224" s="461">
        <v>163</v>
      </c>
      <c r="B224" s="461" t="s">
        <v>55</v>
      </c>
      <c r="C224" s="441" t="s">
        <v>976</v>
      </c>
      <c r="D224" s="462">
        <v>579000000</v>
      </c>
      <c r="E224" s="462">
        <f t="shared" si="14"/>
        <v>579000000</v>
      </c>
    </row>
    <row r="225" spans="1:5" ht="15" thickBot="1" x14ac:dyDescent="0.35">
      <c r="A225" s="461"/>
      <c r="B225" s="459" t="s">
        <v>977</v>
      </c>
      <c r="C225" s="442" t="s">
        <v>978</v>
      </c>
      <c r="D225" s="521">
        <f>SUM(D226:D227)</f>
        <v>218000000</v>
      </c>
      <c r="E225" s="521">
        <f t="shared" ref="E225:E232" si="15">D225</f>
        <v>218000000</v>
      </c>
    </row>
    <row r="226" spans="1:5" ht="15" thickBot="1" x14ac:dyDescent="0.35">
      <c r="A226" s="461">
        <v>164</v>
      </c>
      <c r="B226" s="461" t="s">
        <v>56</v>
      </c>
      <c r="C226" s="441" t="s">
        <v>978</v>
      </c>
      <c r="D226" s="462">
        <f>258000000-'Pooled Fund detail Capital'!H57</f>
        <v>218000000</v>
      </c>
      <c r="E226" s="462">
        <f t="shared" si="15"/>
        <v>218000000</v>
      </c>
    </row>
    <row r="227" spans="1:5" ht="15" thickBot="1" x14ac:dyDescent="0.35">
      <c r="A227" s="461">
        <v>165</v>
      </c>
      <c r="B227" s="461" t="s">
        <v>979</v>
      </c>
      <c r="C227" s="441" t="s">
        <v>980</v>
      </c>
      <c r="D227" s="529" t="s">
        <v>986</v>
      </c>
      <c r="E227" s="462" t="str">
        <f t="shared" si="15"/>
        <v xml:space="preserve">                                    -   </v>
      </c>
    </row>
    <row r="228" spans="1:5" ht="15" thickBot="1" x14ac:dyDescent="0.35">
      <c r="A228" s="461"/>
      <c r="B228" s="459" t="s">
        <v>981</v>
      </c>
      <c r="C228" s="442" t="s">
        <v>982</v>
      </c>
      <c r="D228" s="521">
        <f>SUM(D229:D230)</f>
        <v>1438147000</v>
      </c>
      <c r="E228" s="521">
        <f t="shared" si="15"/>
        <v>1438147000</v>
      </c>
    </row>
    <row r="229" spans="1:5" ht="15" thickBot="1" x14ac:dyDescent="0.35">
      <c r="A229" s="461">
        <v>166</v>
      </c>
      <c r="B229" s="461" t="s">
        <v>589</v>
      </c>
      <c r="C229" s="441" t="s">
        <v>983</v>
      </c>
      <c r="D229" s="462">
        <v>992000000</v>
      </c>
      <c r="E229" s="462">
        <f t="shared" si="15"/>
        <v>992000000</v>
      </c>
    </row>
    <row r="230" spans="1:5" ht="15" thickBot="1" x14ac:dyDescent="0.35">
      <c r="A230" s="466" t="s">
        <v>1033</v>
      </c>
      <c r="B230" s="461" t="s">
        <v>590</v>
      </c>
      <c r="C230" s="441" t="s">
        <v>984</v>
      </c>
      <c r="D230" s="462">
        <v>446147000</v>
      </c>
      <c r="E230" s="462">
        <f t="shared" si="15"/>
        <v>446147000</v>
      </c>
    </row>
    <row r="231" spans="1:5" ht="15" thickBot="1" x14ac:dyDescent="0.35">
      <c r="A231" s="461"/>
      <c r="B231" s="459" t="s">
        <v>985</v>
      </c>
      <c r="C231" s="442" t="s">
        <v>324</v>
      </c>
      <c r="D231" s="521">
        <f>SUM(D232:D232)</f>
        <v>8000000</v>
      </c>
      <c r="E231" s="521">
        <f t="shared" si="15"/>
        <v>8000000</v>
      </c>
    </row>
    <row r="232" spans="1:5" ht="15" thickBot="1" x14ac:dyDescent="0.35">
      <c r="A232" s="470">
        <v>168</v>
      </c>
      <c r="B232" s="461" t="s">
        <v>591</v>
      </c>
      <c r="C232" s="441" t="s">
        <v>324</v>
      </c>
      <c r="D232" s="462">
        <v>8000000</v>
      </c>
      <c r="E232" s="462">
        <f t="shared" si="15"/>
        <v>8000000</v>
      </c>
    </row>
  </sheetData>
  <mergeCells count="4">
    <mergeCell ref="A1:E1"/>
    <mergeCell ref="A2:E2"/>
    <mergeCell ref="A3:E3"/>
    <mergeCell ref="A5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workbookViewId="0">
      <selection activeCell="I7" sqref="I7"/>
    </sheetView>
  </sheetViews>
  <sheetFormatPr defaultColWidth="8.88671875" defaultRowHeight="10.8" x14ac:dyDescent="0.2"/>
  <cols>
    <col min="1" max="1" width="6.109375" style="495" customWidth="1"/>
    <col min="2" max="2" width="12.109375" style="495" customWidth="1"/>
    <col min="3" max="3" width="49.33203125" style="495" customWidth="1"/>
    <col min="4" max="4" width="16.88671875" style="495" customWidth="1"/>
    <col min="5" max="5" width="17.88671875" style="495" customWidth="1"/>
    <col min="6" max="6" width="17.88671875" style="495" bestFit="1" customWidth="1"/>
    <col min="7" max="7" width="10.5546875" style="495" customWidth="1"/>
    <col min="8" max="16384" width="8.88671875" style="495"/>
  </cols>
  <sheetData>
    <row r="1" spans="1:7" ht="13.8" x14ac:dyDescent="0.2">
      <c r="A1" s="558" t="s">
        <v>5</v>
      </c>
      <c r="B1" s="558"/>
      <c r="C1" s="558"/>
      <c r="D1" s="558"/>
      <c r="E1" s="558"/>
      <c r="F1" s="558"/>
      <c r="G1" s="558"/>
    </row>
    <row r="2" spans="1:7" ht="13.8" x14ac:dyDescent="0.2">
      <c r="A2" s="558" t="s">
        <v>1153</v>
      </c>
      <c r="B2" s="558"/>
      <c r="C2" s="558"/>
      <c r="D2" s="558"/>
      <c r="E2" s="558"/>
      <c r="F2" s="558"/>
      <c r="G2" s="558"/>
    </row>
    <row r="3" spans="1:7" ht="13.8" x14ac:dyDescent="0.2">
      <c r="A3" s="558" t="s">
        <v>1077</v>
      </c>
      <c r="B3" s="558"/>
      <c r="C3" s="558"/>
      <c r="D3" s="558"/>
      <c r="E3" s="558"/>
      <c r="F3" s="558"/>
      <c r="G3" s="558"/>
    </row>
    <row r="4" spans="1:7" ht="39.6" x14ac:dyDescent="0.25">
      <c r="A4" s="103" t="s">
        <v>0</v>
      </c>
      <c r="B4" s="102" t="s">
        <v>206</v>
      </c>
      <c r="C4" s="103" t="s">
        <v>17</v>
      </c>
      <c r="D4" s="102" t="s">
        <v>468</v>
      </c>
      <c r="E4" s="102" t="s">
        <v>205</v>
      </c>
      <c r="F4" s="104" t="s">
        <v>1154</v>
      </c>
      <c r="G4" s="102" t="s">
        <v>46</v>
      </c>
    </row>
    <row r="5" spans="1:7" ht="13.8" x14ac:dyDescent="0.25">
      <c r="A5" s="566" t="s">
        <v>716</v>
      </c>
      <c r="B5" s="566"/>
      <c r="C5" s="566"/>
      <c r="D5" s="566"/>
      <c r="E5" s="566"/>
      <c r="F5" s="566"/>
      <c r="G5" s="566"/>
    </row>
    <row r="6" spans="1:7" ht="13.2" x14ac:dyDescent="0.25">
      <c r="A6" s="43">
        <v>1</v>
      </c>
      <c r="B6" s="406">
        <v>12020427</v>
      </c>
      <c r="C6" s="406" t="s">
        <v>762</v>
      </c>
      <c r="D6" s="407">
        <v>1251000</v>
      </c>
      <c r="E6" s="407"/>
      <c r="F6" s="100">
        <f>D6-E6</f>
        <v>1251000</v>
      </c>
      <c r="G6" s="165"/>
    </row>
    <row r="7" spans="1:7" ht="13.8" thickBot="1" x14ac:dyDescent="0.3">
      <c r="A7" s="54">
        <v>2</v>
      </c>
      <c r="B7" s="408">
        <v>13020101</v>
      </c>
      <c r="C7" s="408" t="s">
        <v>763</v>
      </c>
      <c r="D7" s="409">
        <v>250000000</v>
      </c>
      <c r="E7" s="409">
        <v>250000000</v>
      </c>
      <c r="F7" s="100">
        <f>D7-E7</f>
        <v>0</v>
      </c>
      <c r="G7" s="254"/>
    </row>
    <row r="8" spans="1:7" ht="13.8" thickBot="1" x14ac:dyDescent="0.3">
      <c r="A8" s="564" t="s">
        <v>204</v>
      </c>
      <c r="B8" s="565"/>
      <c r="C8" s="565"/>
      <c r="D8" s="257">
        <f t="shared" ref="D8:E8" si="0">SUM(D6:D7)</f>
        <v>251251000</v>
      </c>
      <c r="E8" s="257">
        <f t="shared" si="0"/>
        <v>250000000</v>
      </c>
      <c r="F8" s="257">
        <f>SUM(F6:F7)</f>
        <v>1251000</v>
      </c>
      <c r="G8" s="258"/>
    </row>
    <row r="9" spans="1:7" ht="13.8" x14ac:dyDescent="0.25">
      <c r="A9" s="566" t="s">
        <v>722</v>
      </c>
      <c r="B9" s="566"/>
      <c r="C9" s="566"/>
      <c r="D9" s="566"/>
      <c r="E9" s="566"/>
      <c r="F9" s="566"/>
      <c r="G9" s="566"/>
    </row>
    <row r="10" spans="1:7" ht="27" thickBot="1" x14ac:dyDescent="0.3">
      <c r="A10" s="43">
        <v>1</v>
      </c>
      <c r="B10" s="406">
        <v>12020427</v>
      </c>
      <c r="C10" s="416" t="s">
        <v>721</v>
      </c>
      <c r="D10" s="407">
        <v>846000000</v>
      </c>
      <c r="E10" s="407">
        <v>300000000</v>
      </c>
      <c r="F10" s="100">
        <f>D10-E10</f>
        <v>546000000</v>
      </c>
      <c r="G10" s="165"/>
    </row>
    <row r="11" spans="1:7" ht="13.8" thickBot="1" x14ac:dyDescent="0.3">
      <c r="A11" s="564" t="s">
        <v>204</v>
      </c>
      <c r="B11" s="565"/>
      <c r="C11" s="565"/>
      <c r="D11" s="257">
        <f t="shared" ref="D11:E11" si="1">SUM(D10)</f>
        <v>846000000</v>
      </c>
      <c r="E11" s="257">
        <f t="shared" si="1"/>
        <v>300000000</v>
      </c>
      <c r="F11" s="257">
        <f>SUM(F10)</f>
        <v>546000000</v>
      </c>
      <c r="G11" s="258"/>
    </row>
    <row r="12" spans="1:7" ht="13.8" x14ac:dyDescent="0.25">
      <c r="A12" s="567" t="s">
        <v>723</v>
      </c>
      <c r="B12" s="567"/>
      <c r="C12" s="567"/>
      <c r="D12" s="567"/>
      <c r="E12" s="567"/>
      <c r="F12" s="567"/>
      <c r="G12" s="567"/>
    </row>
    <row r="13" spans="1:7" ht="13.8" x14ac:dyDescent="0.25">
      <c r="A13" s="36">
        <v>1</v>
      </c>
      <c r="B13" s="166">
        <v>14030101</v>
      </c>
      <c r="C13" s="417" t="s">
        <v>764</v>
      </c>
      <c r="D13" s="419">
        <v>100000000</v>
      </c>
      <c r="E13" s="419">
        <v>100000000</v>
      </c>
      <c r="F13" s="100">
        <f>D13-E13</f>
        <v>0</v>
      </c>
      <c r="G13" s="477"/>
    </row>
    <row r="14" spans="1:7" ht="14.4" x14ac:dyDescent="0.3">
      <c r="A14" s="36">
        <v>2</v>
      </c>
      <c r="B14" s="223">
        <v>14030201</v>
      </c>
      <c r="C14" s="417" t="s">
        <v>765</v>
      </c>
      <c r="D14" s="75">
        <v>1114300000</v>
      </c>
      <c r="E14" s="75">
        <v>600000000</v>
      </c>
      <c r="F14" s="75">
        <f>D14-E14</f>
        <v>514300000</v>
      </c>
      <c r="G14" s="338"/>
    </row>
    <row r="15" spans="1:7" ht="15" thickBot="1" x14ac:dyDescent="0.35">
      <c r="A15" s="36">
        <v>3</v>
      </c>
      <c r="B15" s="252">
        <v>13020201</v>
      </c>
      <c r="C15" s="252" t="s">
        <v>731</v>
      </c>
      <c r="D15" s="100">
        <v>100000000</v>
      </c>
      <c r="E15" s="100">
        <v>100000000</v>
      </c>
      <c r="F15" s="75">
        <f>D15-E15</f>
        <v>0</v>
      </c>
      <c r="G15" s="338"/>
    </row>
    <row r="16" spans="1:7" ht="13.8" thickBot="1" x14ac:dyDescent="0.3">
      <c r="A16" s="564" t="s">
        <v>204</v>
      </c>
      <c r="B16" s="565"/>
      <c r="C16" s="565"/>
      <c r="D16" s="257">
        <f t="shared" ref="D16:E16" si="2">SUM(D13:D15)</f>
        <v>1314300000</v>
      </c>
      <c r="E16" s="257">
        <f t="shared" si="2"/>
        <v>800000000</v>
      </c>
      <c r="F16" s="257">
        <f>SUM(F13:F15)</f>
        <v>514300000</v>
      </c>
      <c r="G16" s="258"/>
    </row>
    <row r="17" spans="1:7" ht="13.8" x14ac:dyDescent="0.25">
      <c r="A17" s="561" t="s">
        <v>1072</v>
      </c>
      <c r="B17" s="562"/>
      <c r="C17" s="562"/>
      <c r="D17" s="562"/>
      <c r="E17" s="562"/>
      <c r="F17" s="562"/>
      <c r="G17" s="563"/>
    </row>
    <row r="18" spans="1:7" ht="14.4" x14ac:dyDescent="0.3">
      <c r="A18" s="43">
        <v>1</v>
      </c>
      <c r="B18" s="252">
        <v>14030101</v>
      </c>
      <c r="C18" s="417" t="s">
        <v>764</v>
      </c>
      <c r="D18" s="100">
        <v>3260000000</v>
      </c>
      <c r="E18" s="100">
        <v>2450000000</v>
      </c>
      <c r="F18" s="75">
        <f t="shared" ref="F18:F19" si="3">D18-E18</f>
        <v>810000000</v>
      </c>
      <c r="G18" s="338"/>
    </row>
    <row r="19" spans="1:7" ht="14.1" customHeight="1" thickBot="1" x14ac:dyDescent="0.35">
      <c r="A19" s="43">
        <v>2</v>
      </c>
      <c r="B19" s="252">
        <v>14030201</v>
      </c>
      <c r="C19" s="417" t="s">
        <v>765</v>
      </c>
      <c r="D19" s="100">
        <v>500000000</v>
      </c>
      <c r="E19" s="100">
        <v>500000000</v>
      </c>
      <c r="F19" s="75">
        <f t="shared" si="3"/>
        <v>0</v>
      </c>
      <c r="G19" s="338"/>
    </row>
    <row r="20" spans="1:7" ht="14.1" customHeight="1" thickBot="1" x14ac:dyDescent="0.3">
      <c r="A20" s="564" t="s">
        <v>204</v>
      </c>
      <c r="B20" s="565"/>
      <c r="C20" s="565"/>
      <c r="D20" s="257">
        <f t="shared" ref="D20:E20" si="4">SUM(D18:D19)</f>
        <v>3760000000</v>
      </c>
      <c r="E20" s="257">
        <f t="shared" si="4"/>
        <v>2950000000</v>
      </c>
      <c r="F20" s="257">
        <f>SUM(F18:F19)</f>
        <v>810000000</v>
      </c>
      <c r="G20" s="258"/>
    </row>
    <row r="21" spans="1:7" ht="14.1" customHeight="1" x14ac:dyDescent="0.25">
      <c r="A21" s="561" t="s">
        <v>744</v>
      </c>
      <c r="B21" s="562"/>
      <c r="C21" s="562"/>
      <c r="D21" s="562"/>
      <c r="E21" s="562"/>
      <c r="F21" s="562"/>
      <c r="G21" s="563"/>
    </row>
    <row r="22" spans="1:7" ht="14.1" customHeight="1" thickBot="1" x14ac:dyDescent="0.35">
      <c r="A22" s="418">
        <v>1</v>
      </c>
      <c r="B22" s="223">
        <v>14030101</v>
      </c>
      <c r="C22" s="417" t="s">
        <v>764</v>
      </c>
      <c r="D22" s="75">
        <v>250000000</v>
      </c>
      <c r="E22" s="75">
        <v>200000000</v>
      </c>
      <c r="F22" s="75">
        <f t="shared" ref="F22" si="5">D22-E22</f>
        <v>50000000</v>
      </c>
      <c r="G22" s="338"/>
    </row>
    <row r="23" spans="1:7" ht="14.1" customHeight="1" thickBot="1" x14ac:dyDescent="0.3">
      <c r="A23" s="564" t="s">
        <v>204</v>
      </c>
      <c r="B23" s="565"/>
      <c r="C23" s="565"/>
      <c r="D23" s="257">
        <f t="shared" ref="D23:E23" si="6">SUM(D22)</f>
        <v>250000000</v>
      </c>
      <c r="E23" s="257">
        <f t="shared" si="6"/>
        <v>200000000</v>
      </c>
      <c r="F23" s="257">
        <f>SUM(F22)</f>
        <v>50000000</v>
      </c>
      <c r="G23" s="258"/>
    </row>
    <row r="24" spans="1:7" ht="14.1" customHeight="1" x14ac:dyDescent="0.25">
      <c r="A24" s="561" t="s">
        <v>759</v>
      </c>
      <c r="B24" s="562"/>
      <c r="C24" s="562"/>
      <c r="D24" s="562"/>
      <c r="E24" s="562"/>
      <c r="F24" s="562"/>
      <c r="G24" s="563"/>
    </row>
    <row r="25" spans="1:7" ht="14.1" customHeight="1" thickBot="1" x14ac:dyDescent="0.35">
      <c r="A25" s="61">
        <v>1</v>
      </c>
      <c r="B25" s="421">
        <v>14030201</v>
      </c>
      <c r="C25" s="417" t="s">
        <v>765</v>
      </c>
      <c r="D25" s="75">
        <v>1500000000</v>
      </c>
      <c r="E25" s="75">
        <v>1300000000</v>
      </c>
      <c r="F25" s="75">
        <f t="shared" ref="F25" si="7">D25-E25</f>
        <v>200000000</v>
      </c>
      <c r="G25" s="338"/>
    </row>
    <row r="26" spans="1:7" ht="13.8" thickBot="1" x14ac:dyDescent="0.3">
      <c r="A26" s="564" t="s">
        <v>204</v>
      </c>
      <c r="B26" s="565"/>
      <c r="C26" s="565"/>
      <c r="D26" s="257">
        <f t="shared" ref="D26:E26" si="8">SUM(D25)</f>
        <v>1500000000</v>
      </c>
      <c r="E26" s="257">
        <f t="shared" si="8"/>
        <v>1300000000</v>
      </c>
      <c r="F26" s="257">
        <f>SUM(F25)</f>
        <v>200000000</v>
      </c>
      <c r="G26" s="258"/>
    </row>
    <row r="27" spans="1:7" ht="14.1" customHeight="1" x14ac:dyDescent="0.25">
      <c r="A27" s="561" t="s">
        <v>760</v>
      </c>
      <c r="B27" s="562"/>
      <c r="C27" s="562"/>
      <c r="D27" s="562"/>
      <c r="E27" s="562"/>
      <c r="F27" s="562"/>
      <c r="G27" s="563"/>
    </row>
    <row r="28" spans="1:7" ht="14.1" customHeight="1" thickBot="1" x14ac:dyDescent="0.35">
      <c r="A28" s="61">
        <v>1</v>
      </c>
      <c r="B28" s="421">
        <v>14030201</v>
      </c>
      <c r="C28" s="417" t="s">
        <v>765</v>
      </c>
      <c r="D28" s="75">
        <v>9780000000</v>
      </c>
      <c r="E28" s="75">
        <v>5445000000</v>
      </c>
      <c r="F28" s="75">
        <f t="shared" ref="F28" si="9">D28-E28</f>
        <v>4335000000</v>
      </c>
      <c r="G28" s="338"/>
    </row>
    <row r="29" spans="1:7" ht="14.1" customHeight="1" thickBot="1" x14ac:dyDescent="0.3">
      <c r="A29" s="564" t="s">
        <v>204</v>
      </c>
      <c r="B29" s="565"/>
      <c r="C29" s="565"/>
      <c r="D29" s="257">
        <f t="shared" ref="D29:E29" si="10">SUM(D28)</f>
        <v>9780000000</v>
      </c>
      <c r="E29" s="257">
        <f t="shared" si="10"/>
        <v>5445000000</v>
      </c>
      <c r="F29" s="257">
        <f>SUM(F28)</f>
        <v>4335000000</v>
      </c>
      <c r="G29" s="258"/>
    </row>
    <row r="30" spans="1:7" ht="14.1" customHeight="1" x14ac:dyDescent="0.25">
      <c r="A30" s="566" t="s">
        <v>761</v>
      </c>
      <c r="B30" s="566"/>
      <c r="C30" s="566"/>
      <c r="D30" s="566"/>
      <c r="E30" s="566"/>
      <c r="F30" s="566"/>
      <c r="G30" s="566"/>
    </row>
    <row r="31" spans="1:7" ht="14.1" customHeight="1" thickBot="1" x14ac:dyDescent="0.35">
      <c r="A31" s="61">
        <v>1</v>
      </c>
      <c r="B31" s="223">
        <v>14030201</v>
      </c>
      <c r="C31" s="417" t="s">
        <v>765</v>
      </c>
      <c r="D31" s="75">
        <v>2500000000</v>
      </c>
      <c r="E31" s="75">
        <v>1400000000</v>
      </c>
      <c r="F31" s="75">
        <f t="shared" ref="F31" si="11">D31-E31</f>
        <v>1100000000</v>
      </c>
      <c r="G31" s="338"/>
    </row>
    <row r="32" spans="1:7" ht="13.8" thickBot="1" x14ac:dyDescent="0.3">
      <c r="A32" s="564" t="s">
        <v>204</v>
      </c>
      <c r="B32" s="565"/>
      <c r="C32" s="565"/>
      <c r="D32" s="257">
        <f t="shared" ref="D32:E32" si="12">SUM(D31)</f>
        <v>2500000000</v>
      </c>
      <c r="E32" s="257">
        <f t="shared" si="12"/>
        <v>1400000000</v>
      </c>
      <c r="F32" s="257">
        <f>SUM(F31)</f>
        <v>1100000000</v>
      </c>
      <c r="G32" s="258"/>
    </row>
    <row r="33" spans="1:7" ht="13.8" thickBot="1" x14ac:dyDescent="0.3">
      <c r="A33" s="564" t="s">
        <v>758</v>
      </c>
      <c r="B33" s="565"/>
      <c r="C33" s="565"/>
      <c r="D33" s="257">
        <f>D32+D29+D26+D23+D20+D16+D11+D8</f>
        <v>20201551000</v>
      </c>
      <c r="E33" s="257">
        <f>E32+E29+E26+E23+E20+E16+E11+E8</f>
        <v>12645000000</v>
      </c>
      <c r="F33" s="257">
        <f>F32+F29+F26+F23+F20+F16+F11+F8</f>
        <v>7556551000</v>
      </c>
      <c r="G33" s="258"/>
    </row>
  </sheetData>
  <mergeCells count="20">
    <mergeCell ref="A24:G24"/>
    <mergeCell ref="A30:G30"/>
    <mergeCell ref="A32:C32"/>
    <mergeCell ref="A33:C33"/>
    <mergeCell ref="A3:G3"/>
    <mergeCell ref="A1:G1"/>
    <mergeCell ref="A2:G2"/>
    <mergeCell ref="A27:G27"/>
    <mergeCell ref="A29:C29"/>
    <mergeCell ref="A26:C26"/>
    <mergeCell ref="A5:G5"/>
    <mergeCell ref="A8:C8"/>
    <mergeCell ref="A9:G9"/>
    <mergeCell ref="A11:C11"/>
    <mergeCell ref="A12:G12"/>
    <mergeCell ref="A16:C16"/>
    <mergeCell ref="A17:G17"/>
    <mergeCell ref="A20:C20"/>
    <mergeCell ref="A21:G21"/>
    <mergeCell ref="A23:C23"/>
  </mergeCells>
  <conditionalFormatting sqref="B18:B19">
    <cfRule type="expression" dxfId="1406" priority="25">
      <formula>$L18=9</formula>
    </cfRule>
    <cfRule type="expression" dxfId="1405" priority="26">
      <formula>$L18=7</formula>
    </cfRule>
    <cfRule type="expression" dxfId="1404" priority="27">
      <formula>$L18=6</formula>
    </cfRule>
    <cfRule type="expression" dxfId="1403" priority="28">
      <formula>$L18=5</formula>
    </cfRule>
    <cfRule type="expression" dxfId="1402" priority="29">
      <formula>$L18=4</formula>
    </cfRule>
    <cfRule type="expression" dxfId="1401" priority="30">
      <formula>$L18=3</formula>
    </cfRule>
    <cfRule type="expression" dxfId="1400" priority="31">
      <formula>$L18=2</formula>
    </cfRule>
    <cfRule type="expression" dxfId="1399" priority="32">
      <formula>$L18=1</formula>
    </cfRule>
  </conditionalFormatting>
  <conditionalFormatting sqref="B25">
    <cfRule type="expression" dxfId="1398" priority="17">
      <formula>$L25=9</formula>
    </cfRule>
    <cfRule type="expression" dxfId="1397" priority="18">
      <formula>$L25=7</formula>
    </cfRule>
    <cfRule type="expression" dxfId="1396" priority="19">
      <formula>$L25=6</formula>
    </cfRule>
    <cfRule type="expression" dxfId="1395" priority="20">
      <formula>$L25=5</formula>
    </cfRule>
    <cfRule type="expression" dxfId="1394" priority="21">
      <formula>$L25=4</formula>
    </cfRule>
    <cfRule type="expression" dxfId="1393" priority="22">
      <formula>$L25=3</formula>
    </cfRule>
    <cfRule type="expression" dxfId="1392" priority="23">
      <formula>$L25=2</formula>
    </cfRule>
    <cfRule type="expression" dxfId="1391" priority="24">
      <formula>$L25=1</formula>
    </cfRule>
  </conditionalFormatting>
  <conditionalFormatting sqref="B28">
    <cfRule type="expression" dxfId="1390" priority="9">
      <formula>$L28=9</formula>
    </cfRule>
    <cfRule type="expression" dxfId="1389" priority="10">
      <formula>$L28=7</formula>
    </cfRule>
    <cfRule type="expression" dxfId="1388" priority="11">
      <formula>$L28=6</formula>
    </cfRule>
    <cfRule type="expression" dxfId="1387" priority="12">
      <formula>$L28=5</formula>
    </cfRule>
    <cfRule type="expression" dxfId="1386" priority="13">
      <formula>$L28=4</formula>
    </cfRule>
    <cfRule type="expression" dxfId="1385" priority="14">
      <formula>$L28=3</formula>
    </cfRule>
    <cfRule type="expression" dxfId="1384" priority="15">
      <formula>$L28=2</formula>
    </cfRule>
    <cfRule type="expression" dxfId="1383" priority="16">
      <formula>$L28=1</formula>
    </cfRule>
  </conditionalFormatting>
  <conditionalFormatting sqref="B31">
    <cfRule type="expression" dxfId="1382" priority="1">
      <formula>$L31=9</formula>
    </cfRule>
    <cfRule type="expression" dxfId="1381" priority="2">
      <formula>$L31=7</formula>
    </cfRule>
    <cfRule type="expression" dxfId="1380" priority="3">
      <formula>$L31=6</formula>
    </cfRule>
    <cfRule type="expression" dxfId="1379" priority="4">
      <formula>$L31=5</formula>
    </cfRule>
    <cfRule type="expression" dxfId="1378" priority="5">
      <formula>$L31=4</formula>
    </cfRule>
    <cfRule type="expression" dxfId="1377" priority="6">
      <formula>$L31=3</formula>
    </cfRule>
    <cfRule type="expression" dxfId="1376" priority="7">
      <formula>$L31=2</formula>
    </cfRule>
    <cfRule type="expression" dxfId="1375" priority="8">
      <formula>$L31=1</formula>
    </cfRule>
  </conditionalFormatting>
  <conditionalFormatting sqref="B15:C15">
    <cfRule type="expression" dxfId="1374" priority="41">
      <formula>$L15=9</formula>
    </cfRule>
    <cfRule type="expression" dxfId="1373" priority="42">
      <formula>$L15=7</formula>
    </cfRule>
    <cfRule type="expression" dxfId="1372" priority="43">
      <formula>$L15=6</formula>
    </cfRule>
    <cfRule type="expression" dxfId="1371" priority="44">
      <formula>$L15=5</formula>
    </cfRule>
    <cfRule type="expression" dxfId="1370" priority="45">
      <formula>$L15=4</formula>
    </cfRule>
    <cfRule type="expression" dxfId="1369" priority="46">
      <formula>$L15=3</formula>
    </cfRule>
    <cfRule type="expression" dxfId="1368" priority="47">
      <formula>$L15=2</formula>
    </cfRule>
    <cfRule type="expression" dxfId="1367" priority="48">
      <formula>$L15=1</formula>
    </cfRule>
  </conditionalFormatting>
  <conditionalFormatting sqref="B6:E7 B10:E10">
    <cfRule type="expression" dxfId="1366" priority="49">
      <formula>$J6=9</formula>
    </cfRule>
    <cfRule type="expression" dxfId="1365" priority="50">
      <formula>$J6=7</formula>
    </cfRule>
    <cfRule type="expression" dxfId="1364" priority="51">
      <formula>$J6=6</formula>
    </cfRule>
    <cfRule type="expression" dxfId="1363" priority="52">
      <formula>$J6=5</formula>
    </cfRule>
    <cfRule type="expression" dxfId="1362" priority="53">
      <formula>$J6=4</formula>
    </cfRule>
    <cfRule type="expression" dxfId="1361" priority="54">
      <formula>$J6=3</formula>
    </cfRule>
    <cfRule type="expression" dxfId="1360" priority="55">
      <formula>$J6=2</formula>
    </cfRule>
    <cfRule type="expression" dxfId="1359" priority="56">
      <formula>$J6=1</formula>
    </cfRule>
  </conditionalFormatting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4"/>
  <sheetViews>
    <sheetView workbookViewId="0">
      <selection activeCell="E9" sqref="E9"/>
    </sheetView>
  </sheetViews>
  <sheetFormatPr defaultRowHeight="14.4" x14ac:dyDescent="0.3"/>
  <cols>
    <col min="1" max="1" width="5.6640625" style="7" customWidth="1"/>
    <col min="2" max="2" width="65.88671875" customWidth="1"/>
    <col min="3" max="3" width="32.6640625" customWidth="1"/>
    <col min="5" max="5" width="18.6640625" bestFit="1" customWidth="1"/>
    <col min="8" max="8" width="17.6640625" bestFit="1" customWidth="1"/>
  </cols>
  <sheetData>
    <row r="1" spans="1:8" ht="15.9" customHeight="1" x14ac:dyDescent="0.3">
      <c r="A1" s="569" t="s">
        <v>5</v>
      </c>
      <c r="B1" s="569"/>
      <c r="C1" s="569"/>
      <c r="D1" s="569"/>
    </row>
    <row r="2" spans="1:8" ht="15.9" customHeight="1" x14ac:dyDescent="0.3">
      <c r="A2" s="570" t="s">
        <v>1171</v>
      </c>
      <c r="B2" s="570"/>
      <c r="C2" s="570"/>
      <c r="D2" s="570"/>
    </row>
    <row r="3" spans="1:8" ht="15.9" customHeight="1" x14ac:dyDescent="0.3">
      <c r="A3" s="570" t="s">
        <v>686</v>
      </c>
      <c r="B3" s="570"/>
      <c r="C3" s="570"/>
      <c r="D3" s="341"/>
    </row>
    <row r="4" spans="1:8" ht="15.9" customHeight="1" x14ac:dyDescent="0.3">
      <c r="A4" s="113" t="s">
        <v>773</v>
      </c>
      <c r="B4" s="114"/>
      <c r="C4" s="114"/>
      <c r="D4" s="8"/>
    </row>
    <row r="5" spans="1:8" ht="15.9" customHeight="1" x14ac:dyDescent="0.3">
      <c r="A5" s="249" t="s">
        <v>0</v>
      </c>
      <c r="B5" s="250" t="s">
        <v>6</v>
      </c>
      <c r="C5" s="250" t="s">
        <v>7</v>
      </c>
      <c r="D5" s="8"/>
    </row>
    <row r="6" spans="1:8" ht="15.9" customHeight="1" x14ac:dyDescent="0.3">
      <c r="A6" s="77">
        <v>1</v>
      </c>
      <c r="B6" s="111" t="s">
        <v>69</v>
      </c>
      <c r="C6" s="115">
        <f>'Pooled Fund OH Cost'!H39</f>
        <v>1588000000</v>
      </c>
      <c r="D6" s="8"/>
    </row>
    <row r="7" spans="1:8" ht="15.9" customHeight="1" x14ac:dyDescent="0.3">
      <c r="A7" s="78">
        <v>2</v>
      </c>
      <c r="B7" s="112" t="s">
        <v>8</v>
      </c>
      <c r="C7" s="48">
        <f>'Pooled Fund Personnel'!E15</f>
        <v>1486804262.46</v>
      </c>
      <c r="D7" s="8"/>
      <c r="H7" s="4"/>
    </row>
    <row r="8" spans="1:8" ht="15.9" customHeight="1" x14ac:dyDescent="0.3">
      <c r="A8" s="77">
        <v>3</v>
      </c>
      <c r="B8" s="112" t="s">
        <v>175</v>
      </c>
      <c r="C8" s="79">
        <f>C6+C7</f>
        <v>3074804262.46</v>
      </c>
      <c r="D8" s="8"/>
      <c r="H8" s="8"/>
    </row>
    <row r="9" spans="1:8" ht="16.5" customHeight="1" x14ac:dyDescent="0.3">
      <c r="A9" s="78">
        <v>4</v>
      </c>
      <c r="B9" s="112" t="s">
        <v>173</v>
      </c>
      <c r="C9" s="106">
        <f>'summary of recurent allocation'!C49</f>
        <v>11328894262.459999</v>
      </c>
      <c r="D9" s="8"/>
      <c r="E9" s="8"/>
      <c r="H9" s="3"/>
    </row>
    <row r="10" spans="1:8" ht="14.25" customHeight="1" x14ac:dyDescent="0.3">
      <c r="A10" s="46">
        <v>5</v>
      </c>
      <c r="B10" s="112" t="s">
        <v>772</v>
      </c>
      <c r="C10" s="106">
        <f>C16</f>
        <v>8254090000</v>
      </c>
      <c r="D10" s="8"/>
      <c r="H10" s="3"/>
    </row>
    <row r="11" spans="1:8" ht="15" hidden="1" thickBot="1" x14ac:dyDescent="0.35">
      <c r="A11" s="403"/>
      <c r="B11" s="404" t="s">
        <v>180</v>
      </c>
      <c r="C11" s="405">
        <f>C8-C9+C10</f>
        <v>0</v>
      </c>
      <c r="D11" s="8"/>
    </row>
    <row r="12" spans="1:8" ht="23.25" customHeight="1" x14ac:dyDescent="0.3">
      <c r="A12" s="113" t="s">
        <v>774</v>
      </c>
      <c r="B12" s="114"/>
      <c r="C12" s="114"/>
      <c r="D12" s="8"/>
    </row>
    <row r="13" spans="1:8" ht="15.9" customHeight="1" x14ac:dyDescent="0.3">
      <c r="A13" s="249" t="s">
        <v>0</v>
      </c>
      <c r="B13" s="250" t="s">
        <v>6</v>
      </c>
      <c r="C13" s="250" t="s">
        <v>7</v>
      </c>
      <c r="D13" s="8"/>
      <c r="E13" s="8"/>
      <c r="H13" s="4"/>
    </row>
    <row r="14" spans="1:8" ht="15.9" customHeight="1" x14ac:dyDescent="0.3">
      <c r="A14" s="45">
        <v>1</v>
      </c>
      <c r="B14" s="111" t="s">
        <v>9</v>
      </c>
      <c r="C14" s="107">
        <f>'Pooled Fund detail Capital'!H108</f>
        <v>19231340000</v>
      </c>
      <c r="D14" s="8"/>
    </row>
    <row r="15" spans="1:8" ht="15.9" customHeight="1" x14ac:dyDescent="0.3">
      <c r="A15" s="46">
        <v>2</v>
      </c>
      <c r="B15" s="111" t="s">
        <v>174</v>
      </c>
      <c r="C15" s="108">
        <f>'Summary of capital allocation'!D26</f>
        <v>10977250000</v>
      </c>
      <c r="D15" s="8"/>
      <c r="E15" s="3"/>
    </row>
    <row r="16" spans="1:8" ht="15" thickBot="1" x14ac:dyDescent="0.35">
      <c r="A16" s="403"/>
      <c r="B16" s="404" t="s">
        <v>180</v>
      </c>
      <c r="C16" s="405">
        <f>C14-C15</f>
        <v>8254090000</v>
      </c>
      <c r="D16" s="8"/>
    </row>
    <row r="17" spans="1:5" x14ac:dyDescent="0.3">
      <c r="A17" s="5"/>
      <c r="B17" s="6"/>
      <c r="C17" s="6"/>
      <c r="D17" s="8"/>
      <c r="E17" s="3"/>
    </row>
    <row r="18" spans="1:5" x14ac:dyDescent="0.3">
      <c r="A18" s="571" t="s">
        <v>775</v>
      </c>
      <c r="B18" s="571"/>
      <c r="C18" s="13"/>
      <c r="D18" s="8"/>
    </row>
    <row r="19" spans="1:5" x14ac:dyDescent="0.3">
      <c r="A19" s="251" t="s">
        <v>0</v>
      </c>
      <c r="B19" s="250" t="s">
        <v>178</v>
      </c>
      <c r="C19" s="250" t="s">
        <v>7</v>
      </c>
      <c r="D19" s="8"/>
    </row>
    <row r="20" spans="1:5" x14ac:dyDescent="0.3">
      <c r="A20" s="45">
        <v>1</v>
      </c>
      <c r="B20" s="111" t="s">
        <v>177</v>
      </c>
      <c r="C20" s="109">
        <f>C8+C14</f>
        <v>22306144262.459999</v>
      </c>
      <c r="D20" s="8"/>
    </row>
    <row r="21" spans="1:5" x14ac:dyDescent="0.3">
      <c r="A21" s="46">
        <v>2</v>
      </c>
      <c r="B21" s="47" t="s">
        <v>176</v>
      </c>
      <c r="C21" s="110">
        <f>C9+C15</f>
        <v>22306144262.459999</v>
      </c>
      <c r="D21" s="8"/>
    </row>
    <row r="22" spans="1:5" x14ac:dyDescent="0.3">
      <c r="A22" s="82"/>
      <c r="B22" s="83"/>
      <c r="C22" s="84"/>
      <c r="D22" s="8"/>
    </row>
    <row r="23" spans="1:5" ht="23.25" customHeight="1" x14ac:dyDescent="0.3">
      <c r="A23" s="568"/>
      <c r="B23" s="568"/>
      <c r="C23" s="568"/>
    </row>
    <row r="24" spans="1:5" ht="21.75" customHeight="1" x14ac:dyDescent="0.3">
      <c r="A24" s="5"/>
      <c r="B24" s="6"/>
      <c r="C24" s="6"/>
    </row>
    <row r="25" spans="1:5" ht="30" customHeight="1" x14ac:dyDescent="0.3">
      <c r="A25" s="12"/>
      <c r="B25" s="13"/>
      <c r="C25" s="13"/>
    </row>
    <row r="26" spans="1:5" ht="29.25" customHeight="1" x14ac:dyDescent="0.3">
      <c r="A26" s="9"/>
      <c r="B26" s="14"/>
      <c r="C26" s="15"/>
    </row>
    <row r="27" spans="1:5" ht="26.25" customHeight="1" x14ac:dyDescent="0.3">
      <c r="A27" s="9"/>
      <c r="B27" s="14"/>
      <c r="C27" s="16"/>
    </row>
    <row r="28" spans="1:5" ht="26.25" customHeight="1" x14ac:dyDescent="0.3">
      <c r="A28" s="9"/>
      <c r="B28" s="14"/>
      <c r="C28" s="17"/>
    </row>
    <row r="29" spans="1:5" ht="26.25" customHeight="1" x14ac:dyDescent="0.3">
      <c r="A29" s="12"/>
      <c r="B29" s="10"/>
      <c r="C29" s="10"/>
    </row>
    <row r="30" spans="1:5" x14ac:dyDescent="0.3">
      <c r="A30" s="9"/>
      <c r="B30" s="14"/>
      <c r="C30" s="10"/>
    </row>
    <row r="31" spans="1:5" x14ac:dyDescent="0.3">
      <c r="B31" s="8"/>
      <c r="C31" s="11"/>
    </row>
    <row r="32" spans="1:5" x14ac:dyDescent="0.3">
      <c r="B32" s="18"/>
    </row>
    <row r="33" spans="2:4" x14ac:dyDescent="0.3">
      <c r="B33" s="19"/>
    </row>
    <row r="34" spans="2:4" x14ac:dyDescent="0.3">
      <c r="C34" s="8"/>
    </row>
    <row r="35" spans="2:4" x14ac:dyDescent="0.3">
      <c r="C35" s="8"/>
    </row>
    <row r="36" spans="2:4" x14ac:dyDescent="0.3">
      <c r="C36" s="8"/>
    </row>
    <row r="37" spans="2:4" x14ac:dyDescent="0.3">
      <c r="C37" s="8"/>
    </row>
    <row r="38" spans="2:4" x14ac:dyDescent="0.3">
      <c r="C38" s="8"/>
    </row>
    <row r="39" spans="2:4" x14ac:dyDescent="0.3">
      <c r="C39" s="8"/>
      <c r="D39" s="20"/>
    </row>
    <row r="40" spans="2:4" x14ac:dyDescent="0.3">
      <c r="C40" s="8"/>
      <c r="D40" s="20"/>
    </row>
    <row r="41" spans="2:4" x14ac:dyDescent="0.3">
      <c r="C41" s="8"/>
      <c r="D41" s="20"/>
    </row>
    <row r="42" spans="2:4" x14ac:dyDescent="0.3">
      <c r="C42" s="8"/>
      <c r="D42" s="20"/>
    </row>
    <row r="43" spans="2:4" x14ac:dyDescent="0.3">
      <c r="C43" s="8"/>
      <c r="D43" s="20"/>
    </row>
    <row r="44" spans="2:4" ht="25.5" customHeight="1" x14ac:dyDescent="0.3">
      <c r="C44" s="8"/>
      <c r="D44" s="20"/>
    </row>
    <row r="45" spans="2:4" ht="27" customHeight="1" x14ac:dyDescent="0.3">
      <c r="C45" s="8"/>
      <c r="D45" s="20"/>
    </row>
    <row r="46" spans="2:4" ht="32.25" customHeight="1" x14ac:dyDescent="0.3">
      <c r="D46" s="20"/>
    </row>
    <row r="47" spans="2:4" x14ac:dyDescent="0.3">
      <c r="B47" s="20"/>
      <c r="C47" s="20"/>
      <c r="D47" s="20"/>
    </row>
    <row r="48" spans="2:4" x14ac:dyDescent="0.3">
      <c r="B48" s="20"/>
      <c r="C48" s="20"/>
      <c r="D48" s="20"/>
    </row>
    <row r="49" spans="2:4" x14ac:dyDescent="0.3">
      <c r="B49" s="20"/>
      <c r="C49" s="20"/>
      <c r="D49" s="20"/>
    </row>
    <row r="50" spans="2:4" x14ac:dyDescent="0.3">
      <c r="B50" s="20"/>
      <c r="C50" s="20"/>
      <c r="D50" s="20"/>
    </row>
    <row r="51" spans="2:4" x14ac:dyDescent="0.3">
      <c r="B51" s="20"/>
      <c r="C51" s="20"/>
      <c r="D51" s="20"/>
    </row>
    <row r="52" spans="2:4" x14ac:dyDescent="0.3">
      <c r="B52" s="20"/>
      <c r="C52" s="20"/>
      <c r="D52" s="20"/>
    </row>
    <row r="53" spans="2:4" x14ac:dyDescent="0.3">
      <c r="B53" s="20"/>
      <c r="C53" s="20"/>
      <c r="D53" s="20"/>
    </row>
    <row r="54" spans="2:4" x14ac:dyDescent="0.3">
      <c r="B54" s="20"/>
      <c r="C54" s="20"/>
      <c r="D54" s="20"/>
    </row>
    <row r="55" spans="2:4" x14ac:dyDescent="0.3">
      <c r="B55" s="20"/>
      <c r="C55" s="20"/>
      <c r="D55" s="20"/>
    </row>
    <row r="56" spans="2:4" x14ac:dyDescent="0.3">
      <c r="B56" s="20"/>
      <c r="C56" s="20"/>
      <c r="D56" s="20"/>
    </row>
    <row r="57" spans="2:4" x14ac:dyDescent="0.3">
      <c r="B57" s="20"/>
      <c r="C57" s="20"/>
      <c r="D57" s="20"/>
    </row>
    <row r="58" spans="2:4" x14ac:dyDescent="0.3">
      <c r="B58" s="20"/>
      <c r="C58" s="20"/>
      <c r="D58" s="20"/>
    </row>
    <row r="59" spans="2:4" x14ac:dyDescent="0.3">
      <c r="B59" s="20"/>
      <c r="C59" s="20"/>
      <c r="D59" s="20"/>
    </row>
    <row r="60" spans="2:4" x14ac:dyDescent="0.3">
      <c r="B60" s="20"/>
      <c r="C60" s="20"/>
      <c r="D60" s="20"/>
    </row>
    <row r="61" spans="2:4" x14ac:dyDescent="0.3">
      <c r="B61" s="20"/>
      <c r="C61" s="20"/>
      <c r="D61" s="20"/>
    </row>
    <row r="62" spans="2:4" x14ac:dyDescent="0.3">
      <c r="B62" s="20"/>
      <c r="C62" s="20"/>
      <c r="D62" s="20"/>
    </row>
    <row r="63" spans="2:4" x14ac:dyDescent="0.3">
      <c r="B63" s="20"/>
      <c r="C63" s="20"/>
      <c r="D63" s="20"/>
    </row>
    <row r="64" spans="2:4" x14ac:dyDescent="0.3">
      <c r="B64" s="20"/>
      <c r="C64" s="20"/>
      <c r="D64" s="20"/>
    </row>
    <row r="65" spans="2:4" x14ac:dyDescent="0.3">
      <c r="B65" s="20"/>
      <c r="C65" s="20"/>
      <c r="D65" s="20"/>
    </row>
    <row r="66" spans="2:4" x14ac:dyDescent="0.3">
      <c r="B66" s="20"/>
      <c r="C66" s="20"/>
      <c r="D66" s="20"/>
    </row>
    <row r="67" spans="2:4" x14ac:dyDescent="0.3">
      <c r="B67" s="20"/>
      <c r="C67" s="20"/>
      <c r="D67" s="20"/>
    </row>
    <row r="68" spans="2:4" x14ac:dyDescent="0.3">
      <c r="B68" s="20"/>
      <c r="C68" s="20"/>
      <c r="D68" s="20"/>
    </row>
    <row r="69" spans="2:4" x14ac:dyDescent="0.3">
      <c r="B69" s="20"/>
      <c r="C69" s="20"/>
      <c r="D69" s="20"/>
    </row>
    <row r="70" spans="2:4" x14ac:dyDescent="0.3">
      <c r="B70" s="20"/>
      <c r="C70" s="20"/>
      <c r="D70" s="20"/>
    </row>
    <row r="71" spans="2:4" x14ac:dyDescent="0.3">
      <c r="B71" s="20"/>
      <c r="C71" s="20"/>
      <c r="D71" s="20"/>
    </row>
    <row r="72" spans="2:4" x14ac:dyDescent="0.3">
      <c r="B72" s="20"/>
      <c r="C72" s="20"/>
      <c r="D72" s="20"/>
    </row>
    <row r="73" spans="2:4" x14ac:dyDescent="0.3">
      <c r="B73" s="20"/>
      <c r="C73" s="20"/>
      <c r="D73" s="20"/>
    </row>
    <row r="74" spans="2:4" x14ac:dyDescent="0.3">
      <c r="B74" s="20"/>
      <c r="C74" s="20"/>
      <c r="D74" s="20"/>
    </row>
    <row r="75" spans="2:4" x14ac:dyDescent="0.3">
      <c r="B75" s="20"/>
      <c r="C75" s="20"/>
      <c r="D75" s="20"/>
    </row>
    <row r="76" spans="2:4" x14ac:dyDescent="0.3">
      <c r="B76" s="20"/>
      <c r="C76" s="20"/>
      <c r="D76" s="20"/>
    </row>
    <row r="77" spans="2:4" x14ac:dyDescent="0.3">
      <c r="B77" s="20"/>
      <c r="C77" s="20"/>
      <c r="D77" s="20"/>
    </row>
    <row r="78" spans="2:4" x14ac:dyDescent="0.3">
      <c r="B78" s="20"/>
      <c r="C78" s="20"/>
      <c r="D78" s="20"/>
    </row>
    <row r="79" spans="2:4" x14ac:dyDescent="0.3">
      <c r="B79" s="20"/>
      <c r="C79" s="20"/>
      <c r="D79" s="20"/>
    </row>
    <row r="80" spans="2:4" x14ac:dyDescent="0.3">
      <c r="B80" s="20"/>
      <c r="C80" s="20"/>
      <c r="D80" s="20"/>
    </row>
    <row r="81" spans="2:4" x14ac:dyDescent="0.3">
      <c r="B81" s="20"/>
      <c r="C81" s="20"/>
      <c r="D81" s="20"/>
    </row>
    <row r="82" spans="2:4" x14ac:dyDescent="0.3">
      <c r="B82" s="20"/>
      <c r="C82" s="20"/>
      <c r="D82" s="20"/>
    </row>
    <row r="83" spans="2:4" x14ac:dyDescent="0.3">
      <c r="B83" s="20"/>
      <c r="C83" s="20"/>
      <c r="D83" s="20"/>
    </row>
    <row r="84" spans="2:4" x14ac:dyDescent="0.3">
      <c r="B84" s="20"/>
      <c r="C84" s="20"/>
      <c r="D84" s="20"/>
    </row>
  </sheetData>
  <mergeCells count="5">
    <mergeCell ref="A23:C23"/>
    <mergeCell ref="A1:D1"/>
    <mergeCell ref="A2:D2"/>
    <mergeCell ref="A18:B18"/>
    <mergeCell ref="A3:C3"/>
  </mergeCells>
  <pageMargins left="1.2598425196850394" right="0.98425196850393704" top="0.74803149606299213" bottom="0.74803149606299213" header="0.31496062992125984" footer="0.31496062992125984"/>
  <pageSetup firstPageNumber="3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3"/>
  <sheetViews>
    <sheetView workbookViewId="0">
      <selection activeCell="G9" sqref="G9"/>
    </sheetView>
  </sheetViews>
  <sheetFormatPr defaultRowHeight="14.4" x14ac:dyDescent="0.3"/>
  <cols>
    <col min="1" max="1" width="5" customWidth="1"/>
    <col min="2" max="2" width="57" customWidth="1"/>
    <col min="3" max="3" width="19.6640625" customWidth="1"/>
    <col min="4" max="4" width="7.44140625" customWidth="1"/>
    <col min="5" max="5" width="21.5546875" customWidth="1"/>
    <col min="6" max="6" width="8.109375" customWidth="1"/>
    <col min="7" max="7" width="15.33203125" bestFit="1" customWidth="1"/>
    <col min="8" max="8" width="24.6640625" customWidth="1"/>
  </cols>
  <sheetData>
    <row r="1" spans="1:6" ht="12.6" customHeight="1" x14ac:dyDescent="0.3">
      <c r="A1" s="575" t="s">
        <v>5</v>
      </c>
      <c r="B1" s="576"/>
      <c r="C1" s="576"/>
      <c r="D1" s="576"/>
      <c r="E1" s="576"/>
      <c r="F1" s="576"/>
    </row>
    <row r="2" spans="1:6" ht="12.6" customHeight="1" x14ac:dyDescent="0.3">
      <c r="A2" s="575" t="s">
        <v>1170</v>
      </c>
      <c r="B2" s="576"/>
      <c r="C2" s="576"/>
      <c r="D2" s="576"/>
      <c r="E2" s="576"/>
      <c r="F2" s="576"/>
    </row>
    <row r="3" spans="1:6" ht="12.6" customHeight="1" x14ac:dyDescent="0.3">
      <c r="A3" s="575" t="s">
        <v>187</v>
      </c>
      <c r="B3" s="575"/>
      <c r="C3" s="575"/>
      <c r="D3" s="575"/>
      <c r="E3" s="575"/>
      <c r="F3" s="575"/>
    </row>
    <row r="4" spans="1:6" ht="12.6" customHeight="1" x14ac:dyDescent="0.3">
      <c r="A4" s="74"/>
      <c r="B4" s="76" t="s">
        <v>3</v>
      </c>
      <c r="C4" s="76"/>
      <c r="D4" s="74"/>
      <c r="E4" s="74"/>
      <c r="F4" s="74"/>
    </row>
    <row r="5" spans="1:6" ht="18" customHeight="1" x14ac:dyDescent="0.3">
      <c r="A5" s="324" t="s">
        <v>0</v>
      </c>
      <c r="B5" s="324" t="s">
        <v>1</v>
      </c>
      <c r="C5" s="324" t="s">
        <v>42</v>
      </c>
      <c r="D5" s="324" t="s">
        <v>2</v>
      </c>
      <c r="E5" s="37" t="s">
        <v>1086</v>
      </c>
      <c r="F5" s="37" t="s">
        <v>2</v>
      </c>
    </row>
    <row r="6" spans="1:6" ht="12" customHeight="1" x14ac:dyDescent="0.3">
      <c r="A6" s="534">
        <v>1</v>
      </c>
      <c r="B6" s="482" t="s">
        <v>1055</v>
      </c>
      <c r="C6" s="535">
        <f>'Personnel Detail'!Q82+698409593.67</f>
        <v>1613752262.46</v>
      </c>
      <c r="D6" s="536"/>
      <c r="E6" s="537">
        <v>0</v>
      </c>
      <c r="F6" s="538"/>
    </row>
    <row r="7" spans="1:6" ht="12" customHeight="1" x14ac:dyDescent="0.3">
      <c r="A7" s="61">
        <v>2</v>
      </c>
      <c r="B7" s="223" t="s">
        <v>311</v>
      </c>
      <c r="C7" s="75">
        <v>0</v>
      </c>
      <c r="D7" s="539"/>
      <c r="E7" s="126">
        <f>'Details OH Cost'!F31</f>
        <v>280000000</v>
      </c>
      <c r="F7" s="540" t="s">
        <v>1103</v>
      </c>
    </row>
    <row r="8" spans="1:6" ht="11.1" customHeight="1" x14ac:dyDescent="0.3">
      <c r="A8" s="534">
        <v>3</v>
      </c>
      <c r="B8" s="31" t="s">
        <v>295</v>
      </c>
      <c r="C8" s="75">
        <v>0</v>
      </c>
      <c r="D8" s="190"/>
      <c r="E8" s="75">
        <f>'Details OH Cost'!F57</f>
        <v>42000000</v>
      </c>
      <c r="F8" s="190" t="s">
        <v>1104</v>
      </c>
    </row>
    <row r="9" spans="1:6" ht="11.1" customHeight="1" x14ac:dyDescent="0.3">
      <c r="A9" s="61">
        <v>4</v>
      </c>
      <c r="B9" s="31" t="s">
        <v>562</v>
      </c>
      <c r="C9" s="75">
        <v>0</v>
      </c>
      <c r="D9" s="190"/>
      <c r="E9" s="75">
        <f>'Details OH Cost'!F88</f>
        <v>15000000</v>
      </c>
      <c r="F9" s="190" t="s">
        <v>1098</v>
      </c>
    </row>
    <row r="10" spans="1:6" ht="11.1" customHeight="1" x14ac:dyDescent="0.3">
      <c r="A10" s="534">
        <v>5</v>
      </c>
      <c r="B10" s="223" t="s">
        <v>419</v>
      </c>
      <c r="C10" s="75">
        <v>0</v>
      </c>
      <c r="D10" s="190"/>
      <c r="E10" s="75">
        <f>'Details OH Cost'!F121</f>
        <v>27000000</v>
      </c>
      <c r="F10" s="541" t="s">
        <v>1101</v>
      </c>
    </row>
    <row r="11" spans="1:6" ht="11.1" customHeight="1" x14ac:dyDescent="0.3">
      <c r="A11" s="61">
        <v>6</v>
      </c>
      <c r="B11" s="31" t="s">
        <v>296</v>
      </c>
      <c r="C11" s="75">
        <f>'Social Contributions'!E9</f>
        <v>18000000</v>
      </c>
      <c r="D11" s="190" t="s">
        <v>1097</v>
      </c>
      <c r="E11" s="75">
        <f>'Details OH Cost'!F156</f>
        <v>7000000</v>
      </c>
      <c r="F11" s="190" t="s">
        <v>1105</v>
      </c>
    </row>
    <row r="12" spans="1:6" ht="11.1" customHeight="1" x14ac:dyDescent="0.3">
      <c r="A12" s="534">
        <v>7</v>
      </c>
      <c r="B12" s="31" t="s">
        <v>597</v>
      </c>
      <c r="C12" s="75">
        <v>0</v>
      </c>
      <c r="D12" s="190"/>
      <c r="E12" s="75">
        <f>'Details OH Cost'!F187</f>
        <v>15000000</v>
      </c>
      <c r="F12" s="190" t="s">
        <v>1102</v>
      </c>
    </row>
    <row r="13" spans="1:6" ht="11.1" customHeight="1" x14ac:dyDescent="0.3">
      <c r="A13" s="61">
        <v>8</v>
      </c>
      <c r="B13" s="31" t="s">
        <v>535</v>
      </c>
      <c r="C13" s="75">
        <v>0</v>
      </c>
      <c r="D13" s="190"/>
      <c r="E13" s="75">
        <f>'Details OH Cost'!F220</f>
        <v>12000000</v>
      </c>
      <c r="F13" s="190" t="s">
        <v>1106</v>
      </c>
    </row>
    <row r="14" spans="1:6" ht="11.1" customHeight="1" x14ac:dyDescent="0.3">
      <c r="A14" s="534">
        <v>9</v>
      </c>
      <c r="B14" s="31" t="s">
        <v>815</v>
      </c>
      <c r="C14" s="75">
        <v>0</v>
      </c>
      <c r="D14" s="190"/>
      <c r="E14" s="75">
        <f>'Details OH Cost'!F278</f>
        <v>130000000</v>
      </c>
      <c r="F14" s="190" t="s">
        <v>1100</v>
      </c>
    </row>
    <row r="15" spans="1:6" ht="11.1" customHeight="1" x14ac:dyDescent="0.3">
      <c r="A15" s="61">
        <v>10</v>
      </c>
      <c r="B15" s="31" t="s">
        <v>297</v>
      </c>
      <c r="C15" s="75">
        <v>0</v>
      </c>
      <c r="D15" s="190"/>
      <c r="E15" s="75">
        <f>'Details OH Cost'!F313</f>
        <v>22000000</v>
      </c>
      <c r="F15" s="541" t="s">
        <v>1099</v>
      </c>
    </row>
    <row r="16" spans="1:6" ht="11.1" customHeight="1" x14ac:dyDescent="0.3">
      <c r="A16" s="534">
        <v>11</v>
      </c>
      <c r="B16" s="31" t="s">
        <v>571</v>
      </c>
      <c r="C16" s="75">
        <f>'Social Contributions'!E13</f>
        <v>55035000</v>
      </c>
      <c r="D16" s="190" t="s">
        <v>1097</v>
      </c>
      <c r="E16" s="75">
        <v>0</v>
      </c>
      <c r="F16" s="541"/>
    </row>
    <row r="17" spans="1:6" ht="11.1" customHeight="1" x14ac:dyDescent="0.3">
      <c r="A17" s="61">
        <v>12</v>
      </c>
      <c r="B17" s="31" t="s">
        <v>298</v>
      </c>
      <c r="C17" s="75">
        <v>0</v>
      </c>
      <c r="D17" s="190"/>
      <c r="E17" s="75">
        <f>'Details OH Cost'!F334</f>
        <v>300000000</v>
      </c>
      <c r="F17" s="541" t="s">
        <v>1107</v>
      </c>
    </row>
    <row r="18" spans="1:6" ht="11.1" customHeight="1" x14ac:dyDescent="0.3">
      <c r="A18" s="534">
        <v>13</v>
      </c>
      <c r="B18" s="31" t="s">
        <v>410</v>
      </c>
      <c r="C18" s="75">
        <v>0</v>
      </c>
      <c r="D18" s="190"/>
      <c r="E18" s="75">
        <f>'Details OH Cost'!F380</f>
        <v>4500000</v>
      </c>
      <c r="F18" s="541" t="s">
        <v>1108</v>
      </c>
    </row>
    <row r="19" spans="1:6" ht="11.1" customHeight="1" x14ac:dyDescent="0.3">
      <c r="A19" s="61">
        <v>14</v>
      </c>
      <c r="B19" s="31" t="s">
        <v>715</v>
      </c>
      <c r="C19" s="75">
        <v>0</v>
      </c>
      <c r="D19" s="190"/>
      <c r="E19" s="75">
        <f>'Details OH Cost'!F416</f>
        <v>10500000</v>
      </c>
      <c r="F19" s="541" t="s">
        <v>1109</v>
      </c>
    </row>
    <row r="20" spans="1:6" ht="11.1" customHeight="1" x14ac:dyDescent="0.3">
      <c r="A20" s="534">
        <v>15</v>
      </c>
      <c r="B20" s="31" t="s">
        <v>1110</v>
      </c>
      <c r="C20" s="75">
        <v>0</v>
      </c>
      <c r="D20" s="190"/>
      <c r="E20" s="75">
        <f>'Details OH Cost'!F442</f>
        <v>10000000</v>
      </c>
      <c r="F20" s="541" t="s">
        <v>1113</v>
      </c>
    </row>
    <row r="21" spans="1:6" ht="11.1" customHeight="1" x14ac:dyDescent="0.3">
      <c r="A21" s="61">
        <v>16</v>
      </c>
      <c r="B21" s="31" t="s">
        <v>409</v>
      </c>
      <c r="C21" s="75">
        <v>0</v>
      </c>
      <c r="D21" s="190"/>
      <c r="E21" s="75">
        <f>'Details OH Cost'!F475</f>
        <v>58640000</v>
      </c>
      <c r="F21" s="541" t="s">
        <v>1114</v>
      </c>
    </row>
    <row r="22" spans="1:6" ht="11.1" customHeight="1" x14ac:dyDescent="0.3">
      <c r="A22" s="534">
        <v>17</v>
      </c>
      <c r="B22" s="31" t="s">
        <v>304</v>
      </c>
      <c r="C22" s="75">
        <v>0</v>
      </c>
      <c r="D22" s="190"/>
      <c r="E22" s="75">
        <f>'Details OH Cost'!F508</f>
        <v>3900000</v>
      </c>
      <c r="F22" s="541" t="s">
        <v>1115</v>
      </c>
    </row>
    <row r="23" spans="1:6" ht="11.1" customHeight="1" x14ac:dyDescent="0.3">
      <c r="A23" s="61">
        <v>18</v>
      </c>
      <c r="B23" s="542" t="s">
        <v>63</v>
      </c>
      <c r="C23" s="75">
        <f>'Social Contributions'!E18</f>
        <v>3024120000</v>
      </c>
      <c r="D23" s="190" t="s">
        <v>1097</v>
      </c>
      <c r="E23" s="75">
        <f>'Details OH Cost'!F557</f>
        <v>2314000000</v>
      </c>
      <c r="F23" s="190" t="s">
        <v>1116</v>
      </c>
    </row>
    <row r="24" spans="1:6" ht="11.1" customHeight="1" x14ac:dyDescent="0.3">
      <c r="A24" s="534">
        <v>19</v>
      </c>
      <c r="B24" s="542" t="s">
        <v>542</v>
      </c>
      <c r="C24" s="75">
        <v>0</v>
      </c>
      <c r="D24" s="190"/>
      <c r="E24" s="75">
        <f>'Details OH Cost'!F610</f>
        <v>20000000</v>
      </c>
      <c r="F24" s="190" t="s">
        <v>1117</v>
      </c>
    </row>
    <row r="25" spans="1:6" ht="11.1" customHeight="1" x14ac:dyDescent="0.3">
      <c r="A25" s="61">
        <v>20</v>
      </c>
      <c r="B25" s="542" t="s">
        <v>574</v>
      </c>
      <c r="C25" s="75">
        <v>0</v>
      </c>
      <c r="D25" s="190"/>
      <c r="E25" s="75">
        <f>'Details OH Cost'!F645</f>
        <v>87000000</v>
      </c>
      <c r="F25" s="190" t="s">
        <v>1118</v>
      </c>
    </row>
    <row r="26" spans="1:6" ht="11.1" customHeight="1" x14ac:dyDescent="0.3">
      <c r="A26" s="534">
        <v>21</v>
      </c>
      <c r="B26" s="122" t="s">
        <v>575</v>
      </c>
      <c r="C26" s="75">
        <v>0</v>
      </c>
      <c r="D26" s="190"/>
      <c r="E26" s="75">
        <f>'Details OH Cost'!F669</f>
        <v>6000000</v>
      </c>
      <c r="F26" s="190" t="s">
        <v>1119</v>
      </c>
    </row>
    <row r="27" spans="1:6" ht="11.1" customHeight="1" x14ac:dyDescent="0.3">
      <c r="A27" s="61">
        <v>22</v>
      </c>
      <c r="B27" s="122" t="s">
        <v>576</v>
      </c>
      <c r="C27" s="75">
        <v>0</v>
      </c>
      <c r="D27" s="190"/>
      <c r="E27" s="75">
        <f>'Details OH Cost'!F700</f>
        <v>16000000</v>
      </c>
      <c r="F27" s="190" t="s">
        <v>1120</v>
      </c>
    </row>
    <row r="28" spans="1:6" ht="11.1" customHeight="1" x14ac:dyDescent="0.3">
      <c r="A28" s="534">
        <v>23</v>
      </c>
      <c r="B28" s="542" t="s">
        <v>303</v>
      </c>
      <c r="C28" s="75">
        <v>0</v>
      </c>
      <c r="D28" s="190"/>
      <c r="E28" s="75">
        <f>'Details OH Cost'!F746</f>
        <v>5000000</v>
      </c>
      <c r="F28" s="190" t="s">
        <v>1121</v>
      </c>
    </row>
    <row r="29" spans="1:6" ht="11.1" customHeight="1" x14ac:dyDescent="0.3">
      <c r="A29" s="61">
        <v>24</v>
      </c>
      <c r="B29" s="122" t="s">
        <v>577</v>
      </c>
      <c r="C29" s="75">
        <v>0</v>
      </c>
      <c r="D29" s="190"/>
      <c r="E29" s="75">
        <f>'Details OH Cost'!F804</f>
        <v>60000000</v>
      </c>
      <c r="F29" s="190" t="s">
        <v>1122</v>
      </c>
    </row>
    <row r="30" spans="1:6" ht="11.1" customHeight="1" x14ac:dyDescent="0.3">
      <c r="A30" s="534">
        <v>25</v>
      </c>
      <c r="B30" s="543" t="s">
        <v>299</v>
      </c>
      <c r="C30" s="75">
        <v>0</v>
      </c>
      <c r="D30" s="190"/>
      <c r="E30" s="75">
        <f>'Details OH Cost'!F822</f>
        <v>3000000</v>
      </c>
      <c r="F30" s="190" t="s">
        <v>1123</v>
      </c>
    </row>
    <row r="31" spans="1:6" ht="11.1" customHeight="1" x14ac:dyDescent="0.3">
      <c r="A31" s="61">
        <v>26</v>
      </c>
      <c r="B31" s="122" t="s">
        <v>536</v>
      </c>
      <c r="C31" s="75">
        <v>0</v>
      </c>
      <c r="D31" s="190"/>
      <c r="E31" s="75">
        <f>'Details OH Cost'!F870</f>
        <v>950000</v>
      </c>
      <c r="F31" s="190" t="s">
        <v>1124</v>
      </c>
    </row>
    <row r="32" spans="1:6" ht="11.1" customHeight="1" x14ac:dyDescent="0.3">
      <c r="A32" s="534">
        <v>27</v>
      </c>
      <c r="B32" s="544" t="s">
        <v>300</v>
      </c>
      <c r="C32" s="75">
        <v>0</v>
      </c>
      <c r="D32" s="190"/>
      <c r="E32" s="75">
        <f>'Details OH Cost'!F894</f>
        <v>10000000</v>
      </c>
      <c r="F32" s="190" t="s">
        <v>1125</v>
      </c>
    </row>
    <row r="33" spans="1:8" ht="11.1" customHeight="1" x14ac:dyDescent="0.3">
      <c r="A33" s="61">
        <v>28</v>
      </c>
      <c r="B33" s="544" t="s">
        <v>432</v>
      </c>
      <c r="C33" s="75">
        <v>0</v>
      </c>
      <c r="D33" s="190"/>
      <c r="E33" s="75">
        <f>'Details OH Cost'!F930</f>
        <v>10000000</v>
      </c>
      <c r="F33" s="190" t="s">
        <v>1126</v>
      </c>
    </row>
    <row r="34" spans="1:8" ht="11.1" customHeight="1" x14ac:dyDescent="0.3">
      <c r="A34" s="534">
        <v>29</v>
      </c>
      <c r="B34" s="122" t="s">
        <v>914</v>
      </c>
      <c r="C34" s="75">
        <v>0</v>
      </c>
      <c r="D34" s="190"/>
      <c r="E34" s="75">
        <f>'Details OH Cost'!F989</f>
        <v>18000000</v>
      </c>
      <c r="F34" s="190" t="s">
        <v>1127</v>
      </c>
    </row>
    <row r="35" spans="1:8" ht="11.1" customHeight="1" x14ac:dyDescent="0.3">
      <c r="A35" s="61">
        <v>30</v>
      </c>
      <c r="B35" s="544" t="s">
        <v>1078</v>
      </c>
      <c r="C35" s="75">
        <v>0</v>
      </c>
      <c r="D35" s="190"/>
      <c r="E35" s="75">
        <f>'Details OH Cost'!F1012</f>
        <v>2732200000</v>
      </c>
      <c r="F35" s="190" t="s">
        <v>1128</v>
      </c>
    </row>
    <row r="36" spans="1:8" ht="11.1" customHeight="1" x14ac:dyDescent="0.3">
      <c r="A36" s="534">
        <v>31</v>
      </c>
      <c r="B36" s="545" t="s">
        <v>270</v>
      </c>
      <c r="C36" s="75">
        <v>0</v>
      </c>
      <c r="D36" s="190"/>
      <c r="E36" s="75">
        <f>'Details OH Cost'!F1062</f>
        <v>15000000</v>
      </c>
      <c r="F36" s="190" t="s">
        <v>1129</v>
      </c>
    </row>
    <row r="37" spans="1:8" ht="11.1" customHeight="1" x14ac:dyDescent="0.3">
      <c r="A37" s="61">
        <v>32</v>
      </c>
      <c r="B37" s="545" t="s">
        <v>586</v>
      </c>
      <c r="C37" s="75">
        <v>0</v>
      </c>
      <c r="D37" s="190"/>
      <c r="E37" s="75">
        <f>'Details OH Cost'!F1098</f>
        <v>185032000</v>
      </c>
      <c r="F37" s="190" t="s">
        <v>1130</v>
      </c>
    </row>
    <row r="38" spans="1:8" ht="11.1" customHeight="1" x14ac:dyDescent="0.3">
      <c r="A38" s="534">
        <v>33</v>
      </c>
      <c r="B38" s="546" t="s">
        <v>688</v>
      </c>
      <c r="C38" s="75">
        <v>0</v>
      </c>
      <c r="D38" s="190"/>
      <c r="E38" s="75">
        <f>'Details OH Cost'!F1119</f>
        <v>10000000</v>
      </c>
      <c r="F38" s="190" t="s">
        <v>1131</v>
      </c>
    </row>
    <row r="39" spans="1:8" ht="11.1" customHeight="1" x14ac:dyDescent="0.3">
      <c r="A39" s="61">
        <v>34</v>
      </c>
      <c r="B39" s="546" t="s">
        <v>788</v>
      </c>
      <c r="C39" s="75">
        <v>0</v>
      </c>
      <c r="D39" s="190"/>
      <c r="E39" s="75">
        <f>'Details OH Cost'!F1164</f>
        <v>75000000</v>
      </c>
      <c r="F39" s="190" t="s">
        <v>1132</v>
      </c>
    </row>
    <row r="40" spans="1:8" ht="11.1" customHeight="1" x14ac:dyDescent="0.3">
      <c r="A40" s="534">
        <v>35</v>
      </c>
      <c r="B40" s="31" t="s">
        <v>711</v>
      </c>
      <c r="C40" s="75">
        <v>0</v>
      </c>
      <c r="D40" s="190"/>
      <c r="E40" s="75">
        <f>'Details OH Cost'!F1183</f>
        <v>7500000</v>
      </c>
      <c r="F40" s="190" t="s">
        <v>1133</v>
      </c>
    </row>
    <row r="41" spans="1:8" ht="11.1" customHeight="1" x14ac:dyDescent="0.3">
      <c r="A41" s="61">
        <v>36</v>
      </c>
      <c r="B41" s="547" t="s">
        <v>959</v>
      </c>
      <c r="C41" s="75">
        <v>0</v>
      </c>
      <c r="D41" s="190"/>
      <c r="E41" s="75">
        <f>'Details OH Cost'!F1222</f>
        <v>10000000</v>
      </c>
      <c r="F41" s="190" t="s">
        <v>1134</v>
      </c>
    </row>
    <row r="42" spans="1:8" ht="11.1" customHeight="1" x14ac:dyDescent="0.3">
      <c r="A42" s="534">
        <v>37</v>
      </c>
      <c r="B42" s="548" t="s">
        <v>301</v>
      </c>
      <c r="C42" s="75">
        <v>0</v>
      </c>
      <c r="D42" s="190"/>
      <c r="E42" s="75">
        <f>'Details OH Cost'!F1255</f>
        <v>40000000</v>
      </c>
      <c r="F42" s="190" t="s">
        <v>1135</v>
      </c>
    </row>
    <row r="43" spans="1:8" ht="11.1" customHeight="1" x14ac:dyDescent="0.3">
      <c r="A43" s="61">
        <v>38</v>
      </c>
      <c r="B43" s="548" t="s">
        <v>596</v>
      </c>
      <c r="C43" s="75">
        <v>0</v>
      </c>
      <c r="D43" s="190"/>
      <c r="E43" s="75">
        <f>'Details OH Cost'!F1279</f>
        <v>2150000</v>
      </c>
      <c r="F43" s="190" t="s">
        <v>1136</v>
      </c>
    </row>
    <row r="44" spans="1:8" ht="11.1" customHeight="1" x14ac:dyDescent="0.3">
      <c r="A44" s="534">
        <v>39</v>
      </c>
      <c r="B44" s="546" t="s">
        <v>302</v>
      </c>
      <c r="C44" s="75">
        <v>0</v>
      </c>
      <c r="D44" s="190"/>
      <c r="E44" s="75">
        <f>'Details OH Cost'!F1319</f>
        <v>8000000</v>
      </c>
      <c r="F44" s="541" t="s">
        <v>1137</v>
      </c>
    </row>
    <row r="45" spans="1:8" ht="12" customHeight="1" x14ac:dyDescent="0.3">
      <c r="A45" s="61">
        <v>40</v>
      </c>
      <c r="B45" s="546" t="s">
        <v>612</v>
      </c>
      <c r="C45" s="75">
        <v>0</v>
      </c>
      <c r="D45" s="190"/>
      <c r="E45" s="75">
        <f>'Details OH Cost'!F1347</f>
        <v>30615000</v>
      </c>
      <c r="F45" s="541" t="s">
        <v>1138</v>
      </c>
    </row>
    <row r="46" spans="1:8" ht="12" customHeight="1" x14ac:dyDescent="0.3">
      <c r="A46" s="534">
        <v>41</v>
      </c>
      <c r="B46" s="546" t="s">
        <v>510</v>
      </c>
      <c r="C46" s="75">
        <v>0</v>
      </c>
      <c r="D46" s="190"/>
      <c r="E46" s="75">
        <f>'Details OH Cost'!F1399</f>
        <v>10000000</v>
      </c>
      <c r="F46" s="541" t="s">
        <v>1139</v>
      </c>
    </row>
    <row r="47" spans="1:8" ht="12" customHeight="1" x14ac:dyDescent="0.3">
      <c r="A47" s="61">
        <v>42</v>
      </c>
      <c r="B47" s="546" t="s">
        <v>324</v>
      </c>
      <c r="C47" s="75">
        <v>0</v>
      </c>
      <c r="D47" s="190"/>
      <c r="E47" s="75">
        <f>'Details OH Cost'!F1454</f>
        <v>5000000</v>
      </c>
      <c r="F47" s="541" t="s">
        <v>1140</v>
      </c>
    </row>
    <row r="48" spans="1:8" ht="12" customHeight="1" x14ac:dyDescent="0.3">
      <c r="A48" s="434"/>
      <c r="B48" s="435" t="s">
        <v>23</v>
      </c>
      <c r="C48" s="436">
        <f>SUM(C6:C47)</f>
        <v>4710907262.46</v>
      </c>
      <c r="D48" s="437"/>
      <c r="E48" s="436">
        <f>SUM(E6:E47)</f>
        <v>6617987000</v>
      </c>
      <c r="F48" s="437"/>
      <c r="G48" s="4"/>
      <c r="H48" s="3"/>
    </row>
    <row r="49" spans="1:7" ht="12" customHeight="1" x14ac:dyDescent="0.3">
      <c r="A49" s="345"/>
      <c r="B49" s="435" t="s">
        <v>15</v>
      </c>
      <c r="C49" s="572">
        <f>E48+C48</f>
        <v>11328894262.459999</v>
      </c>
      <c r="D49" s="573"/>
      <c r="E49" s="574"/>
      <c r="F49" s="436"/>
      <c r="G49" s="3"/>
    </row>
    <row r="50" spans="1:7" ht="18" x14ac:dyDescent="0.35">
      <c r="A50" s="1"/>
      <c r="B50" s="1"/>
      <c r="C50" s="577"/>
      <c r="D50" s="577"/>
      <c r="E50" s="577"/>
      <c r="F50" s="2"/>
    </row>
    <row r="51" spans="1:7" ht="18" x14ac:dyDescent="0.35">
      <c r="A51" s="1"/>
      <c r="B51" s="1"/>
      <c r="C51" s="164"/>
      <c r="D51" s="1"/>
      <c r="E51" s="1"/>
      <c r="F51" s="2"/>
    </row>
    <row r="52" spans="1:7" ht="18" x14ac:dyDescent="0.35">
      <c r="A52" s="1"/>
      <c r="B52" s="1"/>
      <c r="C52" s="1"/>
      <c r="D52" s="1"/>
      <c r="E52" s="1"/>
      <c r="F52" s="2"/>
    </row>
    <row r="53" spans="1:7" ht="18" x14ac:dyDescent="0.35">
      <c r="A53" s="1"/>
      <c r="B53" s="1"/>
      <c r="C53" s="1"/>
      <c r="D53" s="1"/>
      <c r="E53" s="1"/>
      <c r="F53" s="1"/>
    </row>
  </sheetData>
  <mergeCells count="5">
    <mergeCell ref="C49:E49"/>
    <mergeCell ref="A1:F1"/>
    <mergeCell ref="A2:F2"/>
    <mergeCell ref="A3:F3"/>
    <mergeCell ref="C50:E50"/>
  </mergeCells>
  <conditionalFormatting sqref="B26:B34">
    <cfRule type="expression" dxfId="1358" priority="1">
      <formula>$K26=9</formula>
    </cfRule>
    <cfRule type="expression" dxfId="1357" priority="2">
      <formula>$K26=7</formula>
    </cfRule>
    <cfRule type="expression" dxfId="1356" priority="3">
      <formula>$K26=6</formula>
    </cfRule>
    <cfRule type="expression" dxfId="1355" priority="4">
      <formula>$K26=5</formula>
    </cfRule>
    <cfRule type="expression" dxfId="1354" priority="5">
      <formula>$K26=4</formula>
    </cfRule>
    <cfRule type="expression" dxfId="1353" priority="6">
      <formula>$K26=3</formula>
    </cfRule>
    <cfRule type="expression" dxfId="1352" priority="7">
      <formula>$K26=2</formula>
    </cfRule>
    <cfRule type="expression" dxfId="1351" priority="8">
      <formula>$K26=1</formula>
    </cfRule>
  </conditionalFormatting>
  <pageMargins left="0.70866141732283472" right="0.70866141732283472" top="0.43307086614173229" bottom="0.43307086614173229" header="0.31496062992125984" footer="0.31496062992125984"/>
  <pageSetup firstPageNumber="4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workbookViewId="0">
      <selection activeCell="F15" sqref="F15"/>
    </sheetView>
  </sheetViews>
  <sheetFormatPr defaultRowHeight="14.4" x14ac:dyDescent="0.3"/>
  <cols>
    <col min="1" max="1" width="5" customWidth="1"/>
    <col min="2" max="2" width="63.109375" bestFit="1" customWidth="1"/>
    <col min="3" max="3" width="12.33203125" customWidth="1"/>
    <col min="4" max="4" width="26.33203125" customWidth="1"/>
    <col min="5" max="5" width="15.33203125" bestFit="1" customWidth="1"/>
    <col min="6" max="6" width="24.6640625" customWidth="1"/>
  </cols>
  <sheetData>
    <row r="1" spans="1:4" ht="16.8" x14ac:dyDescent="0.3">
      <c r="A1" s="578" t="s">
        <v>5</v>
      </c>
      <c r="B1" s="579"/>
      <c r="C1" s="579"/>
      <c r="D1" s="579"/>
    </row>
    <row r="2" spans="1:4" ht="16.8" x14ac:dyDescent="0.3">
      <c r="A2" s="578" t="s">
        <v>1166</v>
      </c>
      <c r="B2" s="579"/>
      <c r="C2" s="579"/>
      <c r="D2" s="579"/>
    </row>
    <row r="3" spans="1:4" ht="15" customHeight="1" x14ac:dyDescent="0.3">
      <c r="A3" s="578" t="s">
        <v>187</v>
      </c>
      <c r="B3" s="578"/>
      <c r="C3" s="578"/>
      <c r="D3" s="578"/>
    </row>
    <row r="4" spans="1:4" ht="15" customHeight="1" x14ac:dyDescent="0.3">
      <c r="A4" s="167"/>
      <c r="B4" s="167"/>
      <c r="C4" s="167"/>
      <c r="D4" s="167"/>
    </row>
    <row r="5" spans="1:4" ht="16.8" x14ac:dyDescent="0.3">
      <c r="A5" s="35"/>
      <c r="B5" s="41" t="s">
        <v>4</v>
      </c>
      <c r="C5" s="35"/>
      <c r="D5" s="35"/>
    </row>
    <row r="6" spans="1:4" ht="15.9" customHeight="1" x14ac:dyDescent="0.3">
      <c r="A6" s="44" t="s">
        <v>0</v>
      </c>
      <c r="B6" s="44" t="s">
        <v>1</v>
      </c>
      <c r="C6" s="44" t="s">
        <v>2</v>
      </c>
      <c r="D6" s="51" t="s">
        <v>1085</v>
      </c>
    </row>
    <row r="7" spans="1:4" ht="15.9" customHeight="1" x14ac:dyDescent="0.3">
      <c r="A7" s="36">
        <v>1</v>
      </c>
      <c r="B7" s="210" t="s">
        <v>311</v>
      </c>
      <c r="C7" s="36">
        <v>64</v>
      </c>
      <c r="D7" s="80">
        <f>'Project detail capital'!F8</f>
        <v>25000000</v>
      </c>
    </row>
    <row r="8" spans="1:4" ht="15.9" customHeight="1" x14ac:dyDescent="0.3">
      <c r="A8" s="36">
        <v>2</v>
      </c>
      <c r="B8" s="209" t="s">
        <v>295</v>
      </c>
      <c r="C8" s="64">
        <v>64</v>
      </c>
      <c r="D8" s="80">
        <f>'Project detail capital'!F14</f>
        <v>25665000</v>
      </c>
    </row>
    <row r="9" spans="1:4" ht="15.9" customHeight="1" x14ac:dyDescent="0.3">
      <c r="A9" s="36">
        <v>3</v>
      </c>
      <c r="B9" s="234" t="s">
        <v>1144</v>
      </c>
      <c r="C9" s="64">
        <v>64</v>
      </c>
      <c r="D9" s="56">
        <f>'Project detail capital'!F18</f>
        <v>998000</v>
      </c>
    </row>
    <row r="10" spans="1:4" ht="15.9" customHeight="1" x14ac:dyDescent="0.3">
      <c r="A10" s="36">
        <v>4</v>
      </c>
      <c r="B10" s="210" t="s">
        <v>305</v>
      </c>
      <c r="C10" s="64" t="s">
        <v>1145</v>
      </c>
      <c r="D10" s="56">
        <f>'Project detail capital'!F40</f>
        <v>152190000</v>
      </c>
    </row>
    <row r="11" spans="1:4" ht="15.9" customHeight="1" x14ac:dyDescent="0.3">
      <c r="A11" s="36">
        <v>5</v>
      </c>
      <c r="B11" s="218" t="s">
        <v>615</v>
      </c>
      <c r="C11" s="64">
        <v>65</v>
      </c>
      <c r="D11" s="56">
        <f>'Project detail capital'!F45</f>
        <v>5000000</v>
      </c>
    </row>
    <row r="12" spans="1:4" ht="15.9" customHeight="1" x14ac:dyDescent="0.3">
      <c r="A12" s="36">
        <v>6</v>
      </c>
      <c r="B12" s="210" t="s">
        <v>477</v>
      </c>
      <c r="C12" s="64">
        <v>65</v>
      </c>
      <c r="D12" s="56">
        <f>'Project detail capital'!F49</f>
        <v>587464830</v>
      </c>
    </row>
    <row r="13" spans="1:4" ht="15.9" customHeight="1" x14ac:dyDescent="0.3">
      <c r="A13" s="36">
        <v>7</v>
      </c>
      <c r="B13" s="210" t="s">
        <v>431</v>
      </c>
      <c r="C13" s="64" t="s">
        <v>1146</v>
      </c>
      <c r="D13" s="56">
        <f>'Project detail capital'!F54</f>
        <v>1945005420</v>
      </c>
    </row>
    <row r="14" spans="1:4" ht="15.9" customHeight="1" x14ac:dyDescent="0.3">
      <c r="A14" s="36">
        <v>8</v>
      </c>
      <c r="B14" s="210" t="s">
        <v>63</v>
      </c>
      <c r="C14" s="64">
        <v>66</v>
      </c>
      <c r="D14" s="56">
        <f>'Project detail capital'!F60</f>
        <v>4020000000</v>
      </c>
    </row>
    <row r="15" spans="1:4" ht="15.9" customHeight="1" x14ac:dyDescent="0.3">
      <c r="A15" s="36">
        <v>9</v>
      </c>
      <c r="B15" s="211" t="s">
        <v>303</v>
      </c>
      <c r="C15" s="64">
        <v>66</v>
      </c>
      <c r="D15" s="56">
        <f>'Project detail capital'!F69</f>
        <v>29000000</v>
      </c>
    </row>
    <row r="16" spans="1:4" ht="15.9" customHeight="1" x14ac:dyDescent="0.3">
      <c r="A16" s="36">
        <v>10</v>
      </c>
      <c r="B16" s="211" t="s">
        <v>461</v>
      </c>
      <c r="C16" s="64" t="s">
        <v>1147</v>
      </c>
      <c r="D16" s="56">
        <f>'Project detail capital'!F87</f>
        <v>45000000</v>
      </c>
    </row>
    <row r="17" spans="1:5" ht="15.9" customHeight="1" x14ac:dyDescent="0.3">
      <c r="A17" s="36">
        <v>11</v>
      </c>
      <c r="B17" s="218" t="s">
        <v>511</v>
      </c>
      <c r="C17" s="64">
        <v>67</v>
      </c>
      <c r="D17" s="56">
        <f>'Project detail capital'!F92</f>
        <v>2010000000</v>
      </c>
    </row>
    <row r="18" spans="1:5" ht="15.9" customHeight="1" x14ac:dyDescent="0.3">
      <c r="A18" s="36">
        <v>12</v>
      </c>
      <c r="B18" s="218" t="s">
        <v>536</v>
      </c>
      <c r="C18" s="64" t="s">
        <v>1148</v>
      </c>
      <c r="D18" s="56">
        <f>'Project detail capital'!F99</f>
        <v>450000000</v>
      </c>
    </row>
    <row r="19" spans="1:5" ht="15.9" customHeight="1" x14ac:dyDescent="0.3">
      <c r="A19" s="36">
        <v>13</v>
      </c>
      <c r="B19" s="211" t="s">
        <v>323</v>
      </c>
      <c r="C19" s="64">
        <v>68</v>
      </c>
      <c r="D19" s="56">
        <f>'Project detail capital'!F108</f>
        <v>1064400000</v>
      </c>
    </row>
    <row r="20" spans="1:5" ht="15.9" customHeight="1" x14ac:dyDescent="0.3">
      <c r="A20" s="36">
        <v>14</v>
      </c>
      <c r="B20" s="211" t="s">
        <v>432</v>
      </c>
      <c r="C20" s="64">
        <v>68</v>
      </c>
      <c r="D20" s="56">
        <f>'Project detail capital'!F114</f>
        <v>10000000</v>
      </c>
    </row>
    <row r="21" spans="1:5" ht="15.9" customHeight="1" x14ac:dyDescent="0.3">
      <c r="A21" s="36">
        <v>15</v>
      </c>
      <c r="B21" s="212" t="s">
        <v>270</v>
      </c>
      <c r="C21" s="64">
        <v>68</v>
      </c>
      <c r="D21" s="56">
        <f>'Project detail capital'!F120</f>
        <v>9000000</v>
      </c>
    </row>
    <row r="22" spans="1:5" ht="15.9" customHeight="1" x14ac:dyDescent="0.3">
      <c r="A22" s="36">
        <v>16</v>
      </c>
      <c r="B22" s="344" t="s">
        <v>688</v>
      </c>
      <c r="C22" s="64">
        <v>68</v>
      </c>
      <c r="D22" s="56">
        <f>'Project detail capital'!F124</f>
        <v>50000000</v>
      </c>
    </row>
    <row r="23" spans="1:5" ht="33.6" x14ac:dyDescent="0.3">
      <c r="A23" s="36">
        <v>17</v>
      </c>
      <c r="B23" s="213" t="s">
        <v>462</v>
      </c>
      <c r="C23" s="64">
        <v>69</v>
      </c>
      <c r="D23" s="56">
        <f>'Project detail capital'!F130</f>
        <v>175982000</v>
      </c>
    </row>
    <row r="24" spans="1:5" ht="15.9" customHeight="1" x14ac:dyDescent="0.3">
      <c r="A24" s="36">
        <v>18</v>
      </c>
      <c r="B24" s="213" t="s">
        <v>302</v>
      </c>
      <c r="C24" s="64">
        <v>69</v>
      </c>
      <c r="D24" s="56">
        <f>'Project detail capital'!F138</f>
        <v>362278750</v>
      </c>
    </row>
    <row r="25" spans="1:5" ht="15.9" customHeight="1" x14ac:dyDescent="0.3">
      <c r="A25" s="36">
        <v>19</v>
      </c>
      <c r="B25" s="218" t="s">
        <v>612</v>
      </c>
      <c r="C25" s="64" t="s">
        <v>1149</v>
      </c>
      <c r="D25" s="56">
        <f>'Project detail capital'!F146</f>
        <v>10266000</v>
      </c>
    </row>
    <row r="26" spans="1:5" ht="15.9" customHeight="1" x14ac:dyDescent="0.3">
      <c r="A26" s="43"/>
      <c r="B26" s="101" t="s">
        <v>23</v>
      </c>
      <c r="C26" s="42"/>
      <c r="D26" s="57">
        <f>SUM(D7:D25)</f>
        <v>10977250000</v>
      </c>
      <c r="E26" s="4"/>
    </row>
    <row r="27" spans="1:5" ht="18" x14ac:dyDescent="0.35">
      <c r="A27" s="58"/>
      <c r="B27" s="58"/>
      <c r="C27" s="58"/>
      <c r="D27" s="58"/>
    </row>
    <row r="28" spans="1:5" ht="18" x14ac:dyDescent="0.35">
      <c r="A28" s="58"/>
      <c r="B28" s="58"/>
      <c r="C28" s="67"/>
      <c r="D28" s="105"/>
    </row>
    <row r="29" spans="1:5" ht="18" x14ac:dyDescent="0.35">
      <c r="A29" s="58"/>
      <c r="B29" s="58"/>
      <c r="C29" s="58"/>
      <c r="D29" s="58"/>
    </row>
    <row r="30" spans="1:5" ht="18" x14ac:dyDescent="0.35">
      <c r="A30" s="1"/>
      <c r="B30" s="1"/>
      <c r="C30" s="1"/>
      <c r="D30" s="1"/>
    </row>
    <row r="31" spans="1:5" ht="18" x14ac:dyDescent="0.35">
      <c r="A31" s="1"/>
      <c r="B31" s="1"/>
      <c r="C31" s="1"/>
      <c r="D31" s="1"/>
    </row>
  </sheetData>
  <sortState xmlns:xlrd2="http://schemas.microsoft.com/office/spreadsheetml/2017/richdata2" ref="B6:D18">
    <sortCondition ref="C6:C18"/>
  </sortState>
  <mergeCells count="3">
    <mergeCell ref="A2:D2"/>
    <mergeCell ref="A1:D1"/>
    <mergeCell ref="A3:D3"/>
  </mergeCells>
  <conditionalFormatting sqref="B11">
    <cfRule type="expression" dxfId="1350" priority="1">
      <formula>$O11=9</formula>
    </cfRule>
    <cfRule type="expression" dxfId="1349" priority="2">
      <formula>$O11=7</formula>
    </cfRule>
    <cfRule type="expression" dxfId="1348" priority="3">
      <formula>$O11=6</formula>
    </cfRule>
    <cfRule type="expression" dxfId="1347" priority="4">
      <formula>$O11=5</formula>
    </cfRule>
    <cfRule type="expression" dxfId="1346" priority="5">
      <formula>$O11=4</formula>
    </cfRule>
    <cfRule type="expression" dxfId="1345" priority="6">
      <formula>$O11=3</formula>
    </cfRule>
    <cfRule type="expression" dxfId="1344" priority="7">
      <formula>$O11=2</formula>
    </cfRule>
    <cfRule type="expression" dxfId="1343" priority="8">
      <formula>$O11=1</formula>
    </cfRule>
  </conditionalFormatting>
  <conditionalFormatting sqref="B17:B18">
    <cfRule type="expression" dxfId="1342" priority="25">
      <formula>$O17=9</formula>
    </cfRule>
    <cfRule type="expression" dxfId="1341" priority="26">
      <formula>$O17=7</formula>
    </cfRule>
    <cfRule type="expression" dxfId="1340" priority="27">
      <formula>$O17=6</formula>
    </cfRule>
    <cfRule type="expression" dxfId="1339" priority="28">
      <formula>$O17=5</formula>
    </cfRule>
    <cfRule type="expression" dxfId="1338" priority="29">
      <formula>$O17=4</formula>
    </cfRule>
    <cfRule type="expression" dxfId="1337" priority="30">
      <formula>$O17=3</formula>
    </cfRule>
    <cfRule type="expression" dxfId="1336" priority="31">
      <formula>$O17=2</formula>
    </cfRule>
    <cfRule type="expression" dxfId="1335" priority="32">
      <formula>$O17=1</formula>
    </cfRule>
  </conditionalFormatting>
  <conditionalFormatting sqref="B25">
    <cfRule type="expression" dxfId="1334" priority="17">
      <formula>$P25=9</formula>
    </cfRule>
    <cfRule type="expression" dxfId="1333" priority="18">
      <formula>$P25=7</formula>
    </cfRule>
    <cfRule type="expression" dxfId="1332" priority="19">
      <formula>$P25=6</formula>
    </cfRule>
    <cfRule type="expression" dxfId="1331" priority="20">
      <formula>$P25=5</formula>
    </cfRule>
    <cfRule type="expression" dxfId="1330" priority="21">
      <formula>$P25=4</formula>
    </cfRule>
    <cfRule type="expression" dxfId="1329" priority="22">
      <formula>$P25=3</formula>
    </cfRule>
    <cfRule type="expression" dxfId="1328" priority="23">
      <formula>$P25=2</formula>
    </cfRule>
    <cfRule type="expression" dxfId="1327" priority="24">
      <formula>$P25=1</formula>
    </cfRule>
  </conditionalFormatting>
  <pageMargins left="1.6929133858267718" right="0.51181102362204722" top="0.74803149606299213" bottom="0.74803149606299213" header="0.31496062992125984" footer="0.31496062992125984"/>
  <pageSetup firstPageNumber="5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workbookViewId="0">
      <selection activeCell="D9" sqref="D9"/>
    </sheetView>
  </sheetViews>
  <sheetFormatPr defaultRowHeight="14.4" x14ac:dyDescent="0.3"/>
  <cols>
    <col min="1" max="1" width="12.109375" customWidth="1"/>
    <col min="2" max="2" width="12" customWidth="1"/>
    <col min="3" max="3" width="36.6640625" customWidth="1"/>
    <col min="4" max="4" width="19" customWidth="1"/>
    <col min="5" max="5" width="17.88671875" customWidth="1"/>
    <col min="6" max="6" width="17.6640625" customWidth="1"/>
    <col min="7" max="7" width="12.6640625" customWidth="1"/>
  </cols>
  <sheetData>
    <row r="1" spans="1:9" ht="15.6" x14ac:dyDescent="0.3">
      <c r="A1" s="580" t="s">
        <v>5</v>
      </c>
      <c r="B1" s="580"/>
      <c r="C1" s="580"/>
      <c r="D1" s="580"/>
      <c r="E1" s="580"/>
      <c r="F1" s="580"/>
      <c r="G1" s="580"/>
    </row>
    <row r="2" spans="1:9" ht="15.6" x14ac:dyDescent="0.3">
      <c r="A2" s="580" t="s">
        <v>1168</v>
      </c>
      <c r="B2" s="580"/>
      <c r="C2" s="580"/>
      <c r="D2" s="580"/>
      <c r="E2" s="580"/>
      <c r="F2" s="580"/>
      <c r="G2" s="580"/>
    </row>
    <row r="3" spans="1:9" x14ac:dyDescent="0.3">
      <c r="A3" s="585" t="s">
        <v>778</v>
      </c>
      <c r="B3" s="585"/>
      <c r="C3" s="585"/>
      <c r="D3" s="585"/>
      <c r="E3" s="585"/>
      <c r="F3" s="585"/>
      <c r="G3" s="585"/>
      <c r="H3" s="585"/>
    </row>
    <row r="4" spans="1:9" ht="15.6" x14ac:dyDescent="0.3">
      <c r="A4" s="429"/>
      <c r="B4" s="429"/>
      <c r="C4" s="429"/>
      <c r="D4" s="429"/>
      <c r="E4" s="429"/>
      <c r="F4" s="429"/>
      <c r="G4" s="429"/>
    </row>
    <row r="5" spans="1:9" ht="15.6" x14ac:dyDescent="0.3">
      <c r="A5" s="584" t="s">
        <v>47</v>
      </c>
      <c r="B5" s="584"/>
      <c r="C5" s="584"/>
      <c r="D5" s="584"/>
      <c r="E5" s="584"/>
      <c r="F5" s="584"/>
      <c r="G5" s="584"/>
      <c r="H5" s="429"/>
      <c r="I5" s="429"/>
    </row>
    <row r="6" spans="1:9" s="21" customFormat="1" ht="39" customHeight="1" x14ac:dyDescent="0.3">
      <c r="A6" s="37" t="s">
        <v>11</v>
      </c>
      <c r="B6" s="37" t="s">
        <v>12</v>
      </c>
      <c r="C6" s="37" t="s">
        <v>13</v>
      </c>
      <c r="D6" s="37" t="s">
        <v>468</v>
      </c>
      <c r="E6" s="37" t="s">
        <v>1084</v>
      </c>
      <c r="F6" s="37" t="s">
        <v>1169</v>
      </c>
      <c r="G6" s="37" t="s">
        <v>43</v>
      </c>
    </row>
    <row r="7" spans="1:9" s="22" customFormat="1" ht="15.9" customHeight="1" x14ac:dyDescent="0.3">
      <c r="A7" s="298" t="s">
        <v>109</v>
      </c>
      <c r="B7" s="43"/>
      <c r="C7" s="299" t="s">
        <v>26</v>
      </c>
      <c r="D7" s="99"/>
      <c r="E7" s="100"/>
      <c r="F7" s="100"/>
      <c r="G7" s="100"/>
    </row>
    <row r="8" spans="1:9" s="22" customFormat="1" ht="15.9" customHeight="1" x14ac:dyDescent="0.3">
      <c r="A8" s="298"/>
      <c r="B8" s="121">
        <v>21020201</v>
      </c>
      <c r="C8" s="122" t="s">
        <v>776</v>
      </c>
      <c r="D8" s="123">
        <v>500000000</v>
      </c>
      <c r="E8" s="52">
        <v>300000000</v>
      </c>
      <c r="F8" s="256">
        <f>D8-E8</f>
        <v>200000000</v>
      </c>
      <c r="G8" s="131" t="s">
        <v>339</v>
      </c>
    </row>
    <row r="9" spans="1:9" s="22" customFormat="1" ht="15.9" customHeight="1" x14ac:dyDescent="0.3">
      <c r="A9" s="298"/>
      <c r="B9" s="121">
        <v>21020202</v>
      </c>
      <c r="C9" s="122" t="s">
        <v>777</v>
      </c>
      <c r="D9" s="123">
        <v>600000000</v>
      </c>
      <c r="E9" s="52">
        <v>300000000</v>
      </c>
      <c r="F9" s="256">
        <f>D9-E9</f>
        <v>300000000</v>
      </c>
      <c r="G9" s="131" t="s">
        <v>339</v>
      </c>
    </row>
    <row r="10" spans="1:9" s="22" customFormat="1" ht="15.9" customHeight="1" x14ac:dyDescent="0.3">
      <c r="A10" s="298"/>
      <c r="B10" s="121"/>
      <c r="C10" s="299" t="s">
        <v>420</v>
      </c>
      <c r="D10" s="423">
        <f t="shared" ref="D10:E10" si="0">SUM(D8:D9)</f>
        <v>1100000000</v>
      </c>
      <c r="E10" s="423">
        <f t="shared" si="0"/>
        <v>600000000</v>
      </c>
      <c r="F10" s="423">
        <f>SUM(F8:F9)</f>
        <v>500000000</v>
      </c>
      <c r="G10" s="131"/>
    </row>
    <row r="11" spans="1:9" s="22" customFormat="1" ht="6.75" customHeight="1" x14ac:dyDescent="0.3">
      <c r="A11" s="298"/>
      <c r="B11" s="121"/>
      <c r="C11" s="122"/>
      <c r="D11" s="123"/>
      <c r="E11" s="52"/>
      <c r="F11" s="256"/>
      <c r="G11" s="131"/>
    </row>
    <row r="12" spans="1:9" s="22" customFormat="1" ht="26.4" x14ac:dyDescent="0.3">
      <c r="A12" s="298" t="s">
        <v>573</v>
      </c>
      <c r="B12" s="121"/>
      <c r="C12" s="323" t="s">
        <v>702</v>
      </c>
      <c r="D12" s="123"/>
      <c r="E12" s="52"/>
      <c r="F12" s="256"/>
      <c r="G12" s="131"/>
    </row>
    <row r="13" spans="1:9" s="22" customFormat="1" ht="15.9" customHeight="1" thickBot="1" x14ac:dyDescent="0.35">
      <c r="A13" s="294"/>
      <c r="B13" s="239">
        <v>21010103</v>
      </c>
      <c r="C13" s="129" t="s">
        <v>710</v>
      </c>
      <c r="D13" s="392">
        <v>886804262.46000004</v>
      </c>
      <c r="E13" s="439">
        <v>886804262.46000004</v>
      </c>
      <c r="F13" s="256">
        <f>D13-E13</f>
        <v>0</v>
      </c>
      <c r="G13" s="131"/>
    </row>
    <row r="14" spans="1:9" s="22" customFormat="1" ht="27" thickBot="1" x14ac:dyDescent="0.35">
      <c r="A14" s="304"/>
      <c r="B14" s="94"/>
      <c r="C14" s="305" t="s">
        <v>706</v>
      </c>
      <c r="D14" s="440">
        <f t="shared" ref="D14:E14" si="1">SUM(D13)</f>
        <v>886804262.46000004</v>
      </c>
      <c r="E14" s="440">
        <f t="shared" si="1"/>
        <v>886804262.46000004</v>
      </c>
      <c r="F14" s="440">
        <f>SUM(F13)</f>
        <v>0</v>
      </c>
      <c r="G14" s="306"/>
    </row>
    <row r="15" spans="1:9" s="22" customFormat="1" ht="18" customHeight="1" thickBot="1" x14ac:dyDescent="0.35">
      <c r="A15" s="581" t="s">
        <v>15</v>
      </c>
      <c r="B15" s="582"/>
      <c r="C15" s="583"/>
      <c r="D15" s="424">
        <f t="shared" ref="D15:E15" si="2">D14+D10</f>
        <v>1986804262.46</v>
      </c>
      <c r="E15" s="424">
        <f t="shared" si="2"/>
        <v>1486804262.46</v>
      </c>
      <c r="F15" s="424">
        <f>F14+F10</f>
        <v>500000000</v>
      </c>
      <c r="G15" s="259"/>
    </row>
    <row r="20" spans="3:6" x14ac:dyDescent="0.3">
      <c r="D20" s="55"/>
      <c r="E20" s="55"/>
      <c r="F20" s="55"/>
    </row>
    <row r="23" spans="3:6" x14ac:dyDescent="0.3">
      <c r="D23" s="22"/>
    </row>
    <row r="24" spans="3:6" x14ac:dyDescent="0.3">
      <c r="C24" s="3"/>
    </row>
    <row r="26" spans="3:6" x14ac:dyDescent="0.3">
      <c r="C26" s="3"/>
    </row>
    <row r="38" spans="4:4" x14ac:dyDescent="0.3">
      <c r="D38" s="35"/>
    </row>
  </sheetData>
  <mergeCells count="5">
    <mergeCell ref="A1:G1"/>
    <mergeCell ref="A2:G2"/>
    <mergeCell ref="A15:C15"/>
    <mergeCell ref="A5:G5"/>
    <mergeCell ref="A3:H3"/>
  </mergeCells>
  <conditionalFormatting sqref="B10 B11:C11 D11:D12">
    <cfRule type="expression" dxfId="1326" priority="33">
      <formula>$J10=9</formula>
    </cfRule>
    <cfRule type="expression" dxfId="1325" priority="34">
      <formula>$J10=7</formula>
    </cfRule>
    <cfRule type="expression" dxfId="1324" priority="35">
      <formula>$J10=6</formula>
    </cfRule>
    <cfRule type="expression" dxfId="1323" priority="36">
      <formula>$J10=5</formula>
    </cfRule>
    <cfRule type="expression" dxfId="1322" priority="37">
      <formula>$J10=4</formula>
    </cfRule>
    <cfRule type="expression" dxfId="1321" priority="38">
      <formula>$J10=3</formula>
    </cfRule>
    <cfRule type="expression" dxfId="1320" priority="39">
      <formula>$J10=2</formula>
    </cfRule>
    <cfRule type="expression" dxfId="1319" priority="40">
      <formula>$J10=1</formula>
    </cfRule>
  </conditionalFormatting>
  <conditionalFormatting sqref="B12:B13">
    <cfRule type="expression" dxfId="1318" priority="9">
      <formula>$J12=9</formula>
    </cfRule>
    <cfRule type="expression" dxfId="1317" priority="10">
      <formula>$J12=7</formula>
    </cfRule>
    <cfRule type="expression" dxfId="1316" priority="11">
      <formula>$J12=6</formula>
    </cfRule>
    <cfRule type="expression" dxfId="1315" priority="12">
      <formula>$J12=5</formula>
    </cfRule>
    <cfRule type="expression" dxfId="1314" priority="13">
      <formula>$J12=4</formula>
    </cfRule>
    <cfRule type="expression" dxfId="1313" priority="14">
      <formula>$J12=3</formula>
    </cfRule>
    <cfRule type="expression" dxfId="1312" priority="15">
      <formula>$J12=2</formula>
    </cfRule>
    <cfRule type="expression" dxfId="1311" priority="16">
      <formula>$J12=1</formula>
    </cfRule>
  </conditionalFormatting>
  <conditionalFormatting sqref="B8:D9">
    <cfRule type="expression" dxfId="1310" priority="17">
      <formula>$J8=9</formula>
    </cfRule>
    <cfRule type="expression" dxfId="1309" priority="18">
      <formula>$J8=7</formula>
    </cfRule>
    <cfRule type="expression" dxfId="1308" priority="19">
      <formula>$J8=6</formula>
    </cfRule>
    <cfRule type="expression" dxfId="1307" priority="20">
      <formula>$J8=5</formula>
    </cfRule>
    <cfRule type="expression" dxfId="1306" priority="21">
      <formula>$J8=4</formula>
    </cfRule>
    <cfRule type="expression" dxfId="1305" priority="22">
      <formula>$J8=3</formula>
    </cfRule>
    <cfRule type="expression" dxfId="1304" priority="23">
      <formula>$J8=2</formula>
    </cfRule>
    <cfRule type="expression" dxfId="1303" priority="24">
      <formula>$J8=1</formula>
    </cfRule>
  </conditionalFormatting>
  <conditionalFormatting sqref="C13">
    <cfRule type="expression" dxfId="1302" priority="1">
      <formula>$J13=9</formula>
    </cfRule>
    <cfRule type="expression" dxfId="1301" priority="2">
      <formula>$J13=7</formula>
    </cfRule>
    <cfRule type="expression" dxfId="1300" priority="3">
      <formula>$J13=6</formula>
    </cfRule>
    <cfRule type="expression" dxfId="1299" priority="4">
      <formula>$J13=5</formula>
    </cfRule>
    <cfRule type="expression" dxfId="1298" priority="5">
      <formula>$J13=4</formula>
    </cfRule>
    <cfRule type="expression" dxfId="1297" priority="6">
      <formula>$J13=3</formula>
    </cfRule>
    <cfRule type="expression" dxfId="1296" priority="7">
      <formula>$J13=2</formula>
    </cfRule>
    <cfRule type="expression" dxfId="1295" priority="8">
      <formula>$J13=1</formula>
    </cfRule>
  </conditionalFormatting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verticalDpi="4294967295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2"/>
  <sheetViews>
    <sheetView workbookViewId="0">
      <selection activeCell="H8" sqref="H8"/>
    </sheetView>
  </sheetViews>
  <sheetFormatPr defaultRowHeight="14.4" x14ac:dyDescent="0.3"/>
  <cols>
    <col min="1" max="1" width="11.33203125" customWidth="1"/>
    <col min="2" max="2" width="10.88671875" customWidth="1"/>
    <col min="3" max="3" width="35.44140625" customWidth="1"/>
    <col min="4" max="4" width="18.88671875" customWidth="1"/>
    <col min="5" max="5" width="17.88671875" customWidth="1"/>
    <col min="6" max="6" width="18" customWidth="1"/>
    <col min="7" max="7" width="9.88671875" customWidth="1"/>
  </cols>
  <sheetData>
    <row r="1" spans="1:7" ht="15.6" x14ac:dyDescent="0.3">
      <c r="A1" s="580" t="s">
        <v>5</v>
      </c>
      <c r="B1" s="580"/>
      <c r="C1" s="580"/>
      <c r="D1" s="580"/>
      <c r="E1" s="580"/>
      <c r="F1" s="580"/>
      <c r="G1" s="580"/>
    </row>
    <row r="2" spans="1:7" ht="15.6" x14ac:dyDescent="0.3">
      <c r="A2" s="580" t="s">
        <v>1167</v>
      </c>
      <c r="B2" s="580"/>
      <c r="C2" s="580"/>
      <c r="D2" s="580"/>
      <c r="E2" s="580"/>
      <c r="F2" s="580"/>
      <c r="G2" s="580"/>
    </row>
    <row r="3" spans="1:7" ht="15.6" x14ac:dyDescent="0.3">
      <c r="A3" s="429"/>
      <c r="B3" s="429"/>
      <c r="C3" s="429"/>
      <c r="D3" s="429"/>
      <c r="E3" s="429"/>
      <c r="F3" s="429"/>
      <c r="G3" s="429"/>
    </row>
    <row r="4" spans="1:7" ht="15.6" x14ac:dyDescent="0.3">
      <c r="A4" s="584" t="s">
        <v>1088</v>
      </c>
      <c r="B4" s="584"/>
      <c r="C4" s="584"/>
      <c r="D4" s="584"/>
      <c r="E4" s="584"/>
      <c r="F4" s="584"/>
      <c r="G4" s="584"/>
    </row>
    <row r="5" spans="1:7" s="21" customFormat="1" ht="39" customHeight="1" x14ac:dyDescent="0.3">
      <c r="A5" s="37" t="s">
        <v>11</v>
      </c>
      <c r="B5" s="37" t="s">
        <v>12</v>
      </c>
      <c r="C5" s="37" t="s">
        <v>13</v>
      </c>
      <c r="D5" s="37" t="s">
        <v>468</v>
      </c>
      <c r="E5" s="37" t="s">
        <v>1083</v>
      </c>
      <c r="F5" s="37" t="s">
        <v>1156</v>
      </c>
      <c r="G5" s="37" t="s">
        <v>43</v>
      </c>
    </row>
    <row r="6" spans="1:7" s="22" customFormat="1" ht="26.4" x14ac:dyDescent="0.3">
      <c r="A6" s="298" t="s">
        <v>79</v>
      </c>
      <c r="B6" s="43"/>
      <c r="C6" s="299" t="s">
        <v>556</v>
      </c>
      <c r="D6" s="99"/>
      <c r="E6" s="100"/>
      <c r="F6" s="100"/>
      <c r="G6" s="100"/>
    </row>
    <row r="7" spans="1:7" s="22" customFormat="1" ht="15.75" customHeight="1" x14ac:dyDescent="0.3">
      <c r="A7" s="300" t="s">
        <v>38</v>
      </c>
      <c r="B7" s="301">
        <v>21020203</v>
      </c>
      <c r="C7" s="154" t="s">
        <v>557</v>
      </c>
      <c r="D7" s="302">
        <v>95000000</v>
      </c>
      <c r="E7" s="303">
        <v>15000000</v>
      </c>
      <c r="F7" s="297">
        <f>D7+E7</f>
        <v>110000000</v>
      </c>
      <c r="G7" s="256" t="s">
        <v>240</v>
      </c>
    </row>
    <row r="8" spans="1:7" s="22" customFormat="1" ht="15.75" customHeight="1" thickBot="1" x14ac:dyDescent="0.35">
      <c r="A8" s="307" t="s">
        <v>39</v>
      </c>
      <c r="B8" s="308">
        <v>21030101</v>
      </c>
      <c r="C8" s="129" t="s">
        <v>558</v>
      </c>
      <c r="D8" s="237">
        <v>5000000</v>
      </c>
      <c r="E8" s="309">
        <v>3000000</v>
      </c>
      <c r="F8" s="256">
        <f>D8+E8</f>
        <v>8000000</v>
      </c>
      <c r="G8" s="256" t="s">
        <v>240</v>
      </c>
    </row>
    <row r="9" spans="1:7" s="22" customFormat="1" ht="27" thickBot="1" x14ac:dyDescent="0.35">
      <c r="A9" s="311"/>
      <c r="B9" s="201"/>
      <c r="C9" s="305" t="s">
        <v>559</v>
      </c>
      <c r="D9" s="310">
        <f t="shared" ref="D9:E9" si="0">SUM(D7:D8)</f>
        <v>100000000</v>
      </c>
      <c r="E9" s="310">
        <f t="shared" si="0"/>
        <v>18000000</v>
      </c>
      <c r="F9" s="310">
        <f>SUM(F7:F8)</f>
        <v>118000000</v>
      </c>
      <c r="G9" s="306"/>
    </row>
    <row r="10" spans="1:7" s="22" customFormat="1" ht="7.5" customHeight="1" x14ac:dyDescent="0.3">
      <c r="A10" s="296"/>
      <c r="B10" s="180"/>
      <c r="C10" s="334"/>
      <c r="D10" s="293"/>
      <c r="E10" s="333"/>
      <c r="F10" s="333"/>
      <c r="G10" s="333"/>
    </row>
    <row r="11" spans="1:7" s="22" customFormat="1" ht="15.75" customHeight="1" x14ac:dyDescent="0.3">
      <c r="A11" s="298" t="s">
        <v>167</v>
      </c>
      <c r="B11" s="54"/>
      <c r="C11" s="322" t="s">
        <v>602</v>
      </c>
      <c r="D11" s="295"/>
      <c r="E11" s="256"/>
      <c r="F11" s="256"/>
      <c r="G11" s="256"/>
    </row>
    <row r="12" spans="1:7" s="22" customFormat="1" ht="21" thickBot="1" x14ac:dyDescent="0.35">
      <c r="A12" s="294"/>
      <c r="B12" s="239">
        <v>22040105</v>
      </c>
      <c r="C12" s="129" t="s">
        <v>603</v>
      </c>
      <c r="D12" s="295">
        <v>122000000</v>
      </c>
      <c r="E12" s="256">
        <v>55035000</v>
      </c>
      <c r="F12" s="256">
        <f>D12+E12</f>
        <v>177035000</v>
      </c>
      <c r="G12" s="256" t="s">
        <v>240</v>
      </c>
    </row>
    <row r="13" spans="1:7" s="22" customFormat="1" ht="15.75" customHeight="1" thickBot="1" x14ac:dyDescent="0.35">
      <c r="A13" s="304"/>
      <c r="B13" s="94"/>
      <c r="C13" s="305" t="s">
        <v>604</v>
      </c>
      <c r="D13" s="310">
        <f t="shared" ref="D13:E13" si="1">SUM(D12)</f>
        <v>122000000</v>
      </c>
      <c r="E13" s="310">
        <f t="shared" si="1"/>
        <v>55035000</v>
      </c>
      <c r="F13" s="310">
        <f>SUM(F12)</f>
        <v>177035000</v>
      </c>
      <c r="G13" s="306"/>
    </row>
    <row r="14" spans="1:7" s="22" customFormat="1" ht="6.75" customHeight="1" x14ac:dyDescent="0.3">
      <c r="A14" s="296"/>
      <c r="B14" s="180"/>
      <c r="C14" s="334"/>
      <c r="D14" s="293"/>
      <c r="E14" s="333"/>
      <c r="F14" s="333"/>
      <c r="G14" s="333"/>
    </row>
    <row r="15" spans="1:7" s="22" customFormat="1" ht="15.9" customHeight="1" x14ac:dyDescent="0.3">
      <c r="A15" s="298" t="s">
        <v>771</v>
      </c>
      <c r="B15" s="43"/>
      <c r="C15" s="299" t="s">
        <v>26</v>
      </c>
      <c r="D15" s="99"/>
      <c r="E15" s="100"/>
      <c r="F15" s="100"/>
      <c r="G15" s="100"/>
    </row>
    <row r="16" spans="1:7" s="22" customFormat="1" ht="15.9" customHeight="1" x14ac:dyDescent="0.3">
      <c r="A16" s="298"/>
      <c r="B16" s="121">
        <v>21030101</v>
      </c>
      <c r="C16" s="122" t="s">
        <v>558</v>
      </c>
      <c r="D16" s="123">
        <v>1770880000</v>
      </c>
      <c r="E16" s="52">
        <v>624120000</v>
      </c>
      <c r="F16" s="256">
        <f>D16+E16</f>
        <v>2395000000</v>
      </c>
      <c r="G16" s="256" t="s">
        <v>240</v>
      </c>
    </row>
    <row r="17" spans="1:7" s="22" customFormat="1" ht="15.9" customHeight="1" x14ac:dyDescent="0.3">
      <c r="A17" s="298"/>
      <c r="B17" s="121">
        <v>21030102</v>
      </c>
      <c r="C17" s="122" t="s">
        <v>770</v>
      </c>
      <c r="D17" s="123">
        <v>8500000000</v>
      </c>
      <c r="E17" s="52">
        <v>2400000000</v>
      </c>
      <c r="F17" s="256">
        <f>D17+E17</f>
        <v>10900000000</v>
      </c>
      <c r="G17" s="256" t="s">
        <v>240</v>
      </c>
    </row>
    <row r="18" spans="1:7" s="22" customFormat="1" ht="15.9" customHeight="1" thickBot="1" x14ac:dyDescent="0.35">
      <c r="A18" s="298"/>
      <c r="B18" s="43"/>
      <c r="C18" s="299" t="s">
        <v>420</v>
      </c>
      <c r="D18" s="423">
        <f>SUM(D16:D17)</f>
        <v>10270880000</v>
      </c>
      <c r="E18" s="423">
        <f>SUM(E16:E17)</f>
        <v>3024120000</v>
      </c>
      <c r="F18" s="423">
        <f>SUM(F16:F17)</f>
        <v>13295000000</v>
      </c>
      <c r="G18" s="100"/>
    </row>
    <row r="19" spans="1:7" s="22" customFormat="1" ht="18" customHeight="1" thickBot="1" x14ac:dyDescent="0.35">
      <c r="A19" s="581" t="s">
        <v>15</v>
      </c>
      <c r="B19" s="582"/>
      <c r="C19" s="583"/>
      <c r="D19" s="424">
        <f t="shared" ref="D19:E19" si="2">D9+D13+D18</f>
        <v>10492880000</v>
      </c>
      <c r="E19" s="424">
        <f t="shared" si="2"/>
        <v>3097155000</v>
      </c>
      <c r="F19" s="424">
        <f>F9+F13+F18</f>
        <v>13590035000</v>
      </c>
      <c r="G19" s="259"/>
    </row>
    <row r="24" spans="1:7" x14ac:dyDescent="0.3">
      <c r="D24" s="55"/>
      <c r="E24" s="55"/>
      <c r="F24" s="55"/>
    </row>
    <row r="27" spans="1:7" x14ac:dyDescent="0.3">
      <c r="D27" s="22"/>
    </row>
    <row r="28" spans="1:7" x14ac:dyDescent="0.3">
      <c r="C28" s="3"/>
    </row>
    <row r="30" spans="1:7" x14ac:dyDescent="0.3">
      <c r="C30" s="3"/>
    </row>
    <row r="42" spans="4:4" x14ac:dyDescent="0.3">
      <c r="D42" s="35"/>
    </row>
  </sheetData>
  <mergeCells count="4">
    <mergeCell ref="A1:G1"/>
    <mergeCell ref="A2:G2"/>
    <mergeCell ref="A19:C19"/>
    <mergeCell ref="A4:G4"/>
  </mergeCells>
  <conditionalFormatting sqref="B12:C12">
    <cfRule type="expression" dxfId="1294" priority="25">
      <formula>$J12=9</formula>
    </cfRule>
    <cfRule type="expression" dxfId="1293" priority="26">
      <formula>$J12=7</formula>
    </cfRule>
    <cfRule type="expression" dxfId="1292" priority="27">
      <formula>$J12=6</formula>
    </cfRule>
    <cfRule type="expression" dxfId="1291" priority="28">
      <formula>$J12=5</formula>
    </cfRule>
    <cfRule type="expression" dxfId="1290" priority="29">
      <formula>$J12=4</formula>
    </cfRule>
    <cfRule type="expression" dxfId="1289" priority="30">
      <formula>$J12=3</formula>
    </cfRule>
    <cfRule type="expression" dxfId="1288" priority="31">
      <formula>$J12=2</formula>
    </cfRule>
    <cfRule type="expression" dxfId="1287" priority="32">
      <formula>$J12=1</formula>
    </cfRule>
  </conditionalFormatting>
  <conditionalFormatting sqref="B16:D17">
    <cfRule type="expression" dxfId="1286" priority="17">
      <formula>$J16=9</formula>
    </cfRule>
    <cfRule type="expression" dxfId="1285" priority="18">
      <formula>$J16=7</formula>
    </cfRule>
    <cfRule type="expression" dxfId="1284" priority="19">
      <formula>$J16=6</formula>
    </cfRule>
    <cfRule type="expression" dxfId="1283" priority="20">
      <formula>$J16=5</formula>
    </cfRule>
    <cfRule type="expression" dxfId="1282" priority="21">
      <formula>$J16=4</formula>
    </cfRule>
    <cfRule type="expression" dxfId="1281" priority="22">
      <formula>$J16=3</formula>
    </cfRule>
    <cfRule type="expression" dxfId="1280" priority="23">
      <formula>$J16=2</formula>
    </cfRule>
    <cfRule type="expression" dxfId="1279" priority="24">
      <formula>$J16=1</formula>
    </cfRule>
  </conditionalFormatting>
  <conditionalFormatting sqref="C7:C8 E7:E8">
    <cfRule type="expression" dxfId="1278" priority="1225">
      <formula>#REF!=9</formula>
    </cfRule>
    <cfRule type="expression" dxfId="1277" priority="1226">
      <formula>#REF!=7</formula>
    </cfRule>
    <cfRule type="expression" dxfId="1276" priority="1227">
      <formula>#REF!=6</formula>
    </cfRule>
    <cfRule type="expression" dxfId="1275" priority="1228">
      <formula>#REF!=5</formula>
    </cfRule>
    <cfRule type="expression" dxfId="1274" priority="1229">
      <formula>#REF!=4</formula>
    </cfRule>
    <cfRule type="expression" dxfId="1273" priority="1230">
      <formula>#REF!=3</formula>
    </cfRule>
    <cfRule type="expression" dxfId="1272" priority="1231">
      <formula>#REF!=2</formula>
    </cfRule>
    <cfRule type="expression" dxfId="1271" priority="1232">
      <formula>#REF!=1</formula>
    </cfRule>
  </conditionalFormatting>
  <pageMargins left="0.51181102362204722" right="0.51181102362204722" top="0.74803149606299213" bottom="0.74803149606299213" header="0.31496062992125984" footer="0.31496062992125984"/>
  <pageSetup firstPageNumber="7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6"/>
  <sheetViews>
    <sheetView zoomScaleNormal="100" workbookViewId="0">
      <pane ySplit="6" topLeftCell="A7" activePane="bottomLeft" state="frozen"/>
      <selection pane="bottomLeft" activeCell="Q11" sqref="Q11"/>
    </sheetView>
  </sheetViews>
  <sheetFormatPr defaultRowHeight="14.4" x14ac:dyDescent="0.3"/>
  <cols>
    <col min="1" max="1" width="11.109375" customWidth="1"/>
    <col min="2" max="2" width="45.44140625" customWidth="1"/>
    <col min="3" max="10" width="14.33203125" hidden="1" customWidth="1"/>
    <col min="11" max="11" width="14.5546875" hidden="1" customWidth="1"/>
    <col min="12" max="12" width="20.33203125" customWidth="1"/>
    <col min="13" max="13" width="21.44140625" customWidth="1"/>
    <col min="14" max="14" width="13.5546875" hidden="1" customWidth="1"/>
    <col min="15" max="15" width="14.6640625" hidden="1" customWidth="1"/>
    <col min="16" max="16" width="13.6640625" hidden="1" customWidth="1"/>
    <col min="17" max="17" width="20.6640625" customWidth="1"/>
    <col min="18" max="18" width="19.6640625" customWidth="1"/>
    <col min="21" max="21" width="18.6640625" bestFit="1" customWidth="1"/>
  </cols>
  <sheetData>
    <row r="1" spans="1:21" x14ac:dyDescent="0.3">
      <c r="A1" s="585" t="s">
        <v>5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</row>
    <row r="2" spans="1:21" x14ac:dyDescent="0.3">
      <c r="A2" s="585" t="s">
        <v>1155</v>
      </c>
      <c r="B2" s="585"/>
      <c r="C2" s="585"/>
      <c r="D2" s="585"/>
      <c r="E2" s="585"/>
      <c r="F2" s="585"/>
      <c r="G2" s="585"/>
      <c r="H2" s="585"/>
      <c r="I2" s="585"/>
      <c r="J2" s="585"/>
      <c r="K2" s="585"/>
      <c r="L2" s="585"/>
      <c r="M2" s="585"/>
      <c r="N2" s="585"/>
      <c r="O2" s="585"/>
      <c r="P2" s="585"/>
      <c r="Q2" s="585"/>
      <c r="R2" s="585"/>
    </row>
    <row r="3" spans="1:21" x14ac:dyDescent="0.3">
      <c r="A3" s="585" t="s">
        <v>1150</v>
      </c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</row>
    <row r="4" spans="1:21" x14ac:dyDescent="0.3">
      <c r="A4" s="480"/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</row>
    <row r="5" spans="1:21" x14ac:dyDescent="0.3">
      <c r="A5" s="586" t="s">
        <v>47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</row>
    <row r="6" spans="1:21" ht="27" x14ac:dyDescent="0.3">
      <c r="A6" s="53" t="s">
        <v>11</v>
      </c>
      <c r="B6" s="53" t="s">
        <v>1054</v>
      </c>
      <c r="C6" s="53" t="s">
        <v>1043</v>
      </c>
      <c r="D6" s="53" t="s">
        <v>1044</v>
      </c>
      <c r="E6" s="53" t="s">
        <v>1045</v>
      </c>
      <c r="F6" s="53" t="s">
        <v>1046</v>
      </c>
      <c r="G6" s="53" t="s">
        <v>1047</v>
      </c>
      <c r="H6" s="53" t="s">
        <v>1048</v>
      </c>
      <c r="I6" s="53" t="s">
        <v>1049</v>
      </c>
      <c r="J6" s="53" t="s">
        <v>1050</v>
      </c>
      <c r="K6" s="53" t="s">
        <v>1051</v>
      </c>
      <c r="L6" s="37" t="s">
        <v>468</v>
      </c>
      <c r="M6" s="37" t="s">
        <v>1080</v>
      </c>
      <c r="N6" s="37" t="s">
        <v>1052</v>
      </c>
      <c r="O6" s="37" t="s">
        <v>1081</v>
      </c>
      <c r="P6" s="37" t="s">
        <v>1082</v>
      </c>
      <c r="Q6" s="37" t="s">
        <v>205</v>
      </c>
      <c r="R6" s="37" t="s">
        <v>1156</v>
      </c>
    </row>
    <row r="7" spans="1:21" x14ac:dyDescent="0.3">
      <c r="A7" s="479" t="s">
        <v>57</v>
      </c>
      <c r="B7" s="479" t="s">
        <v>857</v>
      </c>
      <c r="C7" s="478">
        <v>36174925.490000002</v>
      </c>
      <c r="D7" s="32">
        <v>37382303.170000069</v>
      </c>
      <c r="E7" s="32">
        <v>35789097.75</v>
      </c>
      <c r="F7" s="32">
        <v>34220315.780000001</v>
      </c>
      <c r="G7" s="32">
        <v>33771338.399999999</v>
      </c>
      <c r="H7" s="32">
        <v>33608880.289999999</v>
      </c>
      <c r="I7" s="32">
        <v>33368304.190000001</v>
      </c>
      <c r="J7" s="32">
        <v>33081947.18</v>
      </c>
      <c r="K7" s="32">
        <v>34161517.359999999</v>
      </c>
      <c r="L7" s="493">
        <f>775553493.83-556777066.51</f>
        <v>218776427.32000005</v>
      </c>
      <c r="M7" s="509">
        <f t="shared" ref="M7:M25" si="0">SUM(C7:K7)</f>
        <v>311558629.61000007</v>
      </c>
      <c r="N7" s="510">
        <f>M7/9</f>
        <v>34617625.51222223</v>
      </c>
      <c r="O7" s="511">
        <f>M7/9*12</f>
        <v>415411506.14666677</v>
      </c>
      <c r="P7" s="511">
        <f t="shared" ref="P7:P26" si="1">N7*2</f>
        <v>69235251.024444461</v>
      </c>
      <c r="Q7" s="511">
        <f t="shared" ref="Q7:Q38" si="2">R7-L7</f>
        <v>265870329.85111117</v>
      </c>
      <c r="R7" s="511">
        <f t="shared" ref="R7:R26" si="3">N7*14</f>
        <v>484646757.17111123</v>
      </c>
    </row>
    <row r="8" spans="1:21" x14ac:dyDescent="0.3">
      <c r="A8" s="479" t="s">
        <v>60</v>
      </c>
      <c r="B8" s="479" t="s">
        <v>862</v>
      </c>
      <c r="C8" s="478">
        <v>5505637.7799999993</v>
      </c>
      <c r="D8" s="32">
        <v>5036309.9800000004</v>
      </c>
      <c r="E8" s="32">
        <v>5035323.78</v>
      </c>
      <c r="F8" s="32">
        <v>4664189.3099999996</v>
      </c>
      <c r="G8" s="32">
        <v>4664189.3099999996</v>
      </c>
      <c r="H8" s="32">
        <v>4694776.62</v>
      </c>
      <c r="I8" s="32">
        <v>4682792.8899999997</v>
      </c>
      <c r="J8" s="32">
        <v>4731332.88</v>
      </c>
      <c r="K8" s="32">
        <v>4833769.8</v>
      </c>
      <c r="L8" s="493">
        <v>65351762.140000001</v>
      </c>
      <c r="M8" s="509">
        <f t="shared" si="0"/>
        <v>43848322.349999994</v>
      </c>
      <c r="N8" s="510">
        <f t="shared" ref="N8:N72" si="4">M8/9</f>
        <v>4872035.8166666664</v>
      </c>
      <c r="O8" s="511">
        <f t="shared" ref="O8:O72" si="5">M8/9*12</f>
        <v>58464429.799999997</v>
      </c>
      <c r="P8" s="511">
        <f t="shared" si="1"/>
        <v>9744071.6333333328</v>
      </c>
      <c r="Q8" s="511">
        <f t="shared" si="2"/>
        <v>2856739.2933333367</v>
      </c>
      <c r="R8" s="511">
        <f t="shared" si="3"/>
        <v>68208501.433333337</v>
      </c>
    </row>
    <row r="9" spans="1:21" x14ac:dyDescent="0.3">
      <c r="A9" s="479" t="s">
        <v>106</v>
      </c>
      <c r="B9" s="479" t="s">
        <v>860</v>
      </c>
      <c r="C9" s="478">
        <v>19210753.53000002</v>
      </c>
      <c r="D9" s="32">
        <v>17610516.940000009</v>
      </c>
      <c r="E9" s="32">
        <v>16760102.83</v>
      </c>
      <c r="F9" s="32">
        <v>16415283.76</v>
      </c>
      <c r="G9" s="32">
        <v>16415283.76</v>
      </c>
      <c r="H9" s="32">
        <v>16272663.279999999</v>
      </c>
      <c r="I9" s="32">
        <v>15897134.67</v>
      </c>
      <c r="J9" s="32">
        <v>16343361.6</v>
      </c>
      <c r="K9" s="32">
        <v>15730120.42</v>
      </c>
      <c r="L9" s="493">
        <v>431220745.87</v>
      </c>
      <c r="M9" s="509">
        <f t="shared" si="0"/>
        <v>150655220.79000002</v>
      </c>
      <c r="N9" s="510">
        <f t="shared" si="4"/>
        <v>16739468.976666668</v>
      </c>
      <c r="O9" s="511">
        <f t="shared" si="5"/>
        <v>200873627.72000003</v>
      </c>
      <c r="P9" s="511">
        <f t="shared" si="1"/>
        <v>33478937.953333337</v>
      </c>
      <c r="Q9" s="511">
        <f t="shared" si="2"/>
        <v>-196868180.19666666</v>
      </c>
      <c r="R9" s="511">
        <f t="shared" si="3"/>
        <v>234352565.67333335</v>
      </c>
    </row>
    <row r="10" spans="1:21" x14ac:dyDescent="0.3">
      <c r="A10" s="479" t="s">
        <v>129</v>
      </c>
      <c r="B10" s="479" t="s">
        <v>901</v>
      </c>
      <c r="C10" s="478">
        <v>4464783.37</v>
      </c>
      <c r="D10" s="32">
        <v>4277424.45</v>
      </c>
      <c r="E10" s="32">
        <v>4330013.78</v>
      </c>
      <c r="F10" s="32">
        <v>4295775.53</v>
      </c>
      <c r="G10" s="32">
        <v>4295775.53</v>
      </c>
      <c r="H10" s="32">
        <v>4373099.5199999996</v>
      </c>
      <c r="I10" s="32">
        <v>4234220.76</v>
      </c>
      <c r="J10" s="32">
        <v>4668238.9400000004</v>
      </c>
      <c r="K10" s="32">
        <v>5038351.08</v>
      </c>
      <c r="L10" s="493">
        <v>49122668.450000003</v>
      </c>
      <c r="M10" s="509">
        <f t="shared" si="0"/>
        <v>39977682.960000001</v>
      </c>
      <c r="N10" s="510">
        <f t="shared" si="4"/>
        <v>4441964.7733333334</v>
      </c>
      <c r="O10" s="511">
        <f t="shared" si="5"/>
        <v>53303577.280000001</v>
      </c>
      <c r="P10" s="511">
        <f t="shared" si="1"/>
        <v>8883929.5466666669</v>
      </c>
      <c r="Q10" s="511">
        <f t="shared" si="2"/>
        <v>13064838.376666665</v>
      </c>
      <c r="R10" s="511">
        <f t="shared" si="3"/>
        <v>62187506.826666668</v>
      </c>
    </row>
    <row r="11" spans="1:21" x14ac:dyDescent="0.3">
      <c r="A11" s="479" t="s">
        <v>77</v>
      </c>
      <c r="B11" s="479" t="s">
        <v>419</v>
      </c>
      <c r="C11" s="478">
        <v>5123523.26</v>
      </c>
      <c r="D11" s="32">
        <v>4912287.4300000016</v>
      </c>
      <c r="E11" s="32">
        <v>5372441.5800000001</v>
      </c>
      <c r="F11" s="32">
        <v>5468206.7599999998</v>
      </c>
      <c r="G11" s="32">
        <v>5468206.7599999998</v>
      </c>
      <c r="H11" s="32">
        <v>4765250.62</v>
      </c>
      <c r="I11" s="32">
        <v>4576853.6399999997</v>
      </c>
      <c r="J11" s="32">
        <v>4761153.71</v>
      </c>
      <c r="K11" s="32">
        <v>5096072.6100000003</v>
      </c>
      <c r="L11" s="493">
        <v>57328072.100000001</v>
      </c>
      <c r="M11" s="509">
        <f t="shared" si="0"/>
        <v>45543996.369999997</v>
      </c>
      <c r="N11" s="510">
        <f t="shared" si="4"/>
        <v>5060444.0411111107</v>
      </c>
      <c r="O11" s="511">
        <f t="shared" si="5"/>
        <v>60725328.493333325</v>
      </c>
      <c r="P11" s="511">
        <f t="shared" si="1"/>
        <v>10120888.082222221</v>
      </c>
      <c r="Q11" s="511">
        <f t="shared" si="2"/>
        <v>13518144.475555547</v>
      </c>
      <c r="R11" s="511">
        <f t="shared" si="3"/>
        <v>70846216.575555548</v>
      </c>
    </row>
    <row r="12" spans="1:21" x14ac:dyDescent="0.3">
      <c r="A12" s="479" t="s">
        <v>591</v>
      </c>
      <c r="B12" s="479" t="s">
        <v>324</v>
      </c>
      <c r="C12" s="478">
        <v>4999194.339999998</v>
      </c>
      <c r="D12" s="32">
        <v>4728329.08</v>
      </c>
      <c r="E12" s="32">
        <v>4418158.95</v>
      </c>
      <c r="F12" s="32">
        <v>4565572.5</v>
      </c>
      <c r="G12" s="32">
        <v>4565572.5</v>
      </c>
      <c r="H12" s="32">
        <v>4554031.4800000004</v>
      </c>
      <c r="I12" s="32">
        <v>4554031.4800000004</v>
      </c>
      <c r="J12" s="32">
        <v>4815055.33</v>
      </c>
      <c r="K12" s="32">
        <v>4730931.84</v>
      </c>
      <c r="L12" s="493">
        <v>61594123.149999999</v>
      </c>
      <c r="M12" s="509">
        <f t="shared" si="0"/>
        <v>41930877.5</v>
      </c>
      <c r="N12" s="510">
        <f t="shared" si="4"/>
        <v>4658986.388888889</v>
      </c>
      <c r="O12" s="511">
        <f t="shared" si="5"/>
        <v>55907836.666666672</v>
      </c>
      <c r="P12" s="511">
        <f t="shared" si="1"/>
        <v>9317972.777777778</v>
      </c>
      <c r="Q12" s="511">
        <f t="shared" si="2"/>
        <v>3631686.2944444492</v>
      </c>
      <c r="R12" s="511">
        <f t="shared" si="3"/>
        <v>65225809.444444448</v>
      </c>
    </row>
    <row r="13" spans="1:21" x14ac:dyDescent="0.3">
      <c r="A13" s="479" t="s">
        <v>102</v>
      </c>
      <c r="B13" s="479" t="s">
        <v>848</v>
      </c>
      <c r="C13" s="478">
        <v>9043636.6999999993</v>
      </c>
      <c r="D13" s="32">
        <v>8756062.6500000022</v>
      </c>
      <c r="E13" s="32">
        <v>8913267.5700000003</v>
      </c>
      <c r="F13" s="32">
        <v>8272303.5499999998</v>
      </c>
      <c r="G13" s="32">
        <v>8277288.2199999997</v>
      </c>
      <c r="H13" s="32">
        <v>8493428.9100000001</v>
      </c>
      <c r="I13" s="32">
        <v>8084358.9699999997</v>
      </c>
      <c r="J13" s="32">
        <v>8383545.5300000003</v>
      </c>
      <c r="K13" s="32">
        <v>7990339.54</v>
      </c>
      <c r="L13" s="493">
        <v>113239599.76000001</v>
      </c>
      <c r="M13" s="509">
        <f t="shared" si="0"/>
        <v>76214231.640000001</v>
      </c>
      <c r="N13" s="510">
        <f t="shared" si="4"/>
        <v>8468247.9600000009</v>
      </c>
      <c r="O13" s="511">
        <f t="shared" si="5"/>
        <v>101618975.52000001</v>
      </c>
      <c r="P13" s="511">
        <f t="shared" si="1"/>
        <v>16936495.920000002</v>
      </c>
      <c r="Q13" s="511">
        <f t="shared" si="2"/>
        <v>5315871.6800000072</v>
      </c>
      <c r="R13" s="511">
        <f t="shared" si="3"/>
        <v>118555471.44000001</v>
      </c>
    </row>
    <row r="14" spans="1:21" x14ac:dyDescent="0.3">
      <c r="A14" s="479" t="s">
        <v>114</v>
      </c>
      <c r="B14" s="479" t="s">
        <v>575</v>
      </c>
      <c r="C14" s="478">
        <v>19187486.239999998</v>
      </c>
      <c r="D14" s="32">
        <v>21434662.230000012</v>
      </c>
      <c r="E14" s="32">
        <v>18549905.850000001</v>
      </c>
      <c r="F14" s="32">
        <v>18099908.960000001</v>
      </c>
      <c r="G14" s="32">
        <v>17972295.809999999</v>
      </c>
      <c r="H14" s="32">
        <v>18228153.140000001</v>
      </c>
      <c r="I14" s="32">
        <v>17774808.859999999</v>
      </c>
      <c r="J14" s="32">
        <v>17879511.109999999</v>
      </c>
      <c r="K14" s="32">
        <v>17056202</v>
      </c>
      <c r="L14" s="493">
        <v>216018644.46000001</v>
      </c>
      <c r="M14" s="509">
        <f t="shared" si="0"/>
        <v>166182934.20000002</v>
      </c>
      <c r="N14" s="510">
        <f t="shared" si="4"/>
        <v>18464770.466666669</v>
      </c>
      <c r="O14" s="511">
        <f t="shared" si="5"/>
        <v>221577245.60000002</v>
      </c>
      <c r="P14" s="511">
        <f t="shared" si="1"/>
        <v>36929540.933333337</v>
      </c>
      <c r="Q14" s="511">
        <f t="shared" si="2"/>
        <v>42488142.073333353</v>
      </c>
      <c r="R14" s="511">
        <f t="shared" si="3"/>
        <v>258506786.53333336</v>
      </c>
    </row>
    <row r="15" spans="1:21" x14ac:dyDescent="0.3">
      <c r="A15" s="479" t="s">
        <v>589</v>
      </c>
      <c r="B15" s="479" t="s">
        <v>983</v>
      </c>
      <c r="C15" s="478">
        <v>6280177.3100000033</v>
      </c>
      <c r="D15" s="32">
        <v>5401036.1500000013</v>
      </c>
      <c r="E15" s="32">
        <v>5384308.3499999996</v>
      </c>
      <c r="F15" s="32">
        <v>4978810.6100000003</v>
      </c>
      <c r="G15" s="32">
        <v>4978810.6100000003</v>
      </c>
      <c r="H15" s="32">
        <v>4899213.7</v>
      </c>
      <c r="I15" s="32">
        <v>5497421.2400000002</v>
      </c>
      <c r="J15" s="32">
        <v>5432005.5300000003</v>
      </c>
      <c r="K15" s="32">
        <v>6098453.79</v>
      </c>
      <c r="L15" s="493">
        <v>68228676.450000003</v>
      </c>
      <c r="M15" s="509">
        <f t="shared" si="0"/>
        <v>48950237.289999999</v>
      </c>
      <c r="N15" s="510">
        <f t="shared" si="4"/>
        <v>5438915.2544444446</v>
      </c>
      <c r="O15" s="511">
        <f t="shared" si="5"/>
        <v>65266983.053333335</v>
      </c>
      <c r="P15" s="511">
        <f t="shared" si="1"/>
        <v>10877830.508888889</v>
      </c>
      <c r="Q15" s="511">
        <f t="shared" si="2"/>
        <v>7916137.1122222245</v>
      </c>
      <c r="R15" s="511">
        <f t="shared" si="3"/>
        <v>76144813.562222227</v>
      </c>
    </row>
    <row r="16" spans="1:21" x14ac:dyDescent="0.3">
      <c r="A16" s="479" t="s">
        <v>124</v>
      </c>
      <c r="B16" s="479" t="s">
        <v>893</v>
      </c>
      <c r="C16" s="478">
        <v>12172554.960000001</v>
      </c>
      <c r="D16" s="32">
        <v>11711791.869999999</v>
      </c>
      <c r="E16" s="32">
        <v>11621497.779999999</v>
      </c>
      <c r="F16" s="32">
        <v>11153143.380000001</v>
      </c>
      <c r="G16" s="32">
        <v>11245207.539999999</v>
      </c>
      <c r="H16" s="32">
        <v>11728391.859999999</v>
      </c>
      <c r="I16" s="32">
        <v>11728391.859999999</v>
      </c>
      <c r="J16" s="32">
        <v>11994490.99</v>
      </c>
      <c r="K16" s="32">
        <v>12012272.24</v>
      </c>
      <c r="L16" s="493">
        <v>140627910.91999999</v>
      </c>
      <c r="M16" s="509">
        <f t="shared" si="0"/>
        <v>105367742.47999999</v>
      </c>
      <c r="N16" s="510">
        <f t="shared" si="4"/>
        <v>11707526.942222221</v>
      </c>
      <c r="O16" s="511">
        <f t="shared" si="5"/>
        <v>140490323.30666664</v>
      </c>
      <c r="P16" s="511">
        <f t="shared" si="1"/>
        <v>23415053.884444442</v>
      </c>
      <c r="Q16" s="511">
        <f t="shared" si="2"/>
        <v>23277466.271111101</v>
      </c>
      <c r="R16" s="511">
        <f t="shared" si="3"/>
        <v>163905377.19111109</v>
      </c>
      <c r="U16" s="491"/>
    </row>
    <row r="17" spans="1:21" x14ac:dyDescent="0.3">
      <c r="A17" s="479" t="s">
        <v>71</v>
      </c>
      <c r="B17" s="479" t="s">
        <v>794</v>
      </c>
      <c r="C17" s="478">
        <v>4967017.17</v>
      </c>
      <c r="D17" s="32">
        <v>4967017.17</v>
      </c>
      <c r="E17" s="32">
        <v>5111765.96</v>
      </c>
      <c r="F17" s="32">
        <v>5093129.74</v>
      </c>
      <c r="G17" s="32">
        <v>5093129.74</v>
      </c>
      <c r="H17" s="32">
        <v>5232157.5999999996</v>
      </c>
      <c r="I17" s="32">
        <v>5814077.54</v>
      </c>
      <c r="J17" s="32">
        <v>5866580.8099999996</v>
      </c>
      <c r="K17" s="32">
        <v>6133022.6799999997</v>
      </c>
      <c r="L17" s="493">
        <v>54185451.850000001</v>
      </c>
      <c r="M17" s="509">
        <f t="shared" si="0"/>
        <v>48277898.410000004</v>
      </c>
      <c r="N17" s="510">
        <f t="shared" si="4"/>
        <v>5364210.9344444452</v>
      </c>
      <c r="O17" s="511">
        <f t="shared" si="5"/>
        <v>64370531.213333338</v>
      </c>
      <c r="P17" s="511">
        <f t="shared" si="1"/>
        <v>10728421.86888889</v>
      </c>
      <c r="Q17" s="511">
        <f t="shared" si="2"/>
        <v>20913501.232222237</v>
      </c>
      <c r="R17" s="511">
        <f t="shared" si="3"/>
        <v>75098953.082222238</v>
      </c>
    </row>
    <row r="18" spans="1:21" x14ac:dyDescent="0.3">
      <c r="A18" s="479" t="s">
        <v>125</v>
      </c>
      <c r="B18" s="479" t="s">
        <v>536</v>
      </c>
      <c r="C18" s="478">
        <v>8442026.7400000021</v>
      </c>
      <c r="D18" s="32">
        <v>8442026.7400000039</v>
      </c>
      <c r="E18" s="32">
        <v>8547873.9399999995</v>
      </c>
      <c r="F18" s="32">
        <v>8353969.79</v>
      </c>
      <c r="G18" s="32">
        <v>8489461.6500000004</v>
      </c>
      <c r="H18" s="32">
        <v>8455126.5</v>
      </c>
      <c r="I18" s="32">
        <v>8362791.6799999997</v>
      </c>
      <c r="J18" s="32">
        <v>8541027.2699999996</v>
      </c>
      <c r="K18" s="32">
        <v>8772837.2400000002</v>
      </c>
      <c r="L18" s="493">
        <v>100169436.66</v>
      </c>
      <c r="M18" s="509">
        <f t="shared" si="0"/>
        <v>76407141.549999997</v>
      </c>
      <c r="N18" s="510">
        <f t="shared" si="4"/>
        <v>8489682.3944444433</v>
      </c>
      <c r="O18" s="511">
        <f t="shared" si="5"/>
        <v>101876188.73333332</v>
      </c>
      <c r="P18" s="511">
        <f t="shared" si="1"/>
        <v>16979364.788888887</v>
      </c>
      <c r="Q18" s="511">
        <f t="shared" si="2"/>
        <v>18686116.86222221</v>
      </c>
      <c r="R18" s="511">
        <f t="shared" si="3"/>
        <v>118855553.52222221</v>
      </c>
    </row>
    <row r="19" spans="1:21" x14ac:dyDescent="0.3">
      <c r="A19" s="479" t="s">
        <v>67</v>
      </c>
      <c r="B19" s="479" t="s">
        <v>788</v>
      </c>
      <c r="C19" s="478">
        <v>103709417.2700005</v>
      </c>
      <c r="D19" s="32">
        <v>101634427.56000049</v>
      </c>
      <c r="E19" s="32">
        <v>100886136.70999999</v>
      </c>
      <c r="F19" s="32">
        <v>99427114.989999995</v>
      </c>
      <c r="G19" s="32">
        <v>99940551.829999998</v>
      </c>
      <c r="H19" s="32">
        <v>100487853.34999999</v>
      </c>
      <c r="I19" s="32">
        <v>100142225.31999999</v>
      </c>
      <c r="J19" s="32">
        <v>101992879.92</v>
      </c>
      <c r="K19" s="32">
        <v>101734859.70999999</v>
      </c>
      <c r="L19" s="493">
        <v>1181073703.1800001</v>
      </c>
      <c r="M19" s="509">
        <f t="shared" si="0"/>
        <v>909955466.66000092</v>
      </c>
      <c r="N19" s="510">
        <f t="shared" si="4"/>
        <v>101106162.96222232</v>
      </c>
      <c r="O19" s="511">
        <f t="shared" si="5"/>
        <v>1213273955.5466678</v>
      </c>
      <c r="P19" s="511">
        <f t="shared" si="1"/>
        <v>202212325.92444465</v>
      </c>
      <c r="Q19" s="511">
        <f t="shared" si="2"/>
        <v>234412578.29111242</v>
      </c>
      <c r="R19" s="511">
        <f t="shared" si="3"/>
        <v>1415486281.4711125</v>
      </c>
    </row>
    <row r="20" spans="1:21" x14ac:dyDescent="0.3">
      <c r="A20" s="479" t="s">
        <v>103</v>
      </c>
      <c r="B20" s="479" t="s">
        <v>850</v>
      </c>
      <c r="C20" s="478">
        <v>5674428.4900000039</v>
      </c>
      <c r="D20" s="32">
        <v>5674428.4900000049</v>
      </c>
      <c r="E20" s="32">
        <v>5674428.4900000002</v>
      </c>
      <c r="F20" s="32">
        <v>5541446.2599999998</v>
      </c>
      <c r="G20" s="32">
        <v>5298441.16</v>
      </c>
      <c r="H20" s="32">
        <v>5491035.1200000001</v>
      </c>
      <c r="I20" s="32">
        <v>5406946.9100000001</v>
      </c>
      <c r="J20" s="32">
        <v>5155341.0199999996</v>
      </c>
      <c r="K20" s="32">
        <v>5142225.6500000004</v>
      </c>
      <c r="L20" s="493">
        <v>82258743.939999998</v>
      </c>
      <c r="M20" s="509">
        <f t="shared" si="0"/>
        <v>49058721.589999996</v>
      </c>
      <c r="N20" s="510">
        <f t="shared" si="4"/>
        <v>5450969.0655555548</v>
      </c>
      <c r="O20" s="511">
        <f t="shared" si="5"/>
        <v>65411628.786666662</v>
      </c>
      <c r="P20" s="511">
        <f t="shared" si="1"/>
        <v>10901938.13111111</v>
      </c>
      <c r="Q20" s="511">
        <f t="shared" si="2"/>
        <v>-5945177.0222222358</v>
      </c>
      <c r="R20" s="511">
        <f t="shared" si="3"/>
        <v>76313566.917777762</v>
      </c>
    </row>
    <row r="21" spans="1:21" x14ac:dyDescent="0.3">
      <c r="A21" s="479" t="s">
        <v>64</v>
      </c>
      <c r="B21" s="479" t="s">
        <v>302</v>
      </c>
      <c r="C21" s="478">
        <v>10964312.34</v>
      </c>
      <c r="D21" s="32">
        <v>10172776.23</v>
      </c>
      <c r="E21" s="32">
        <v>10219242.119999999</v>
      </c>
      <c r="F21" s="32">
        <v>9713796.0399999991</v>
      </c>
      <c r="G21" s="32">
        <v>9713796.0399999991</v>
      </c>
      <c r="H21" s="32">
        <v>9888644.4000000004</v>
      </c>
      <c r="I21" s="32">
        <v>11300869.83</v>
      </c>
      <c r="J21" s="32">
        <v>10090387.960000001</v>
      </c>
      <c r="K21" s="32">
        <v>11296650.52</v>
      </c>
      <c r="L21" s="493">
        <v>132941832.61</v>
      </c>
      <c r="M21" s="509">
        <f t="shared" si="0"/>
        <v>93360475.480000004</v>
      </c>
      <c r="N21" s="510">
        <f t="shared" si="4"/>
        <v>10373386.164444445</v>
      </c>
      <c r="O21" s="511">
        <f t="shared" si="5"/>
        <v>124480633.97333333</v>
      </c>
      <c r="P21" s="511">
        <f t="shared" si="1"/>
        <v>20746772.328888889</v>
      </c>
      <c r="Q21" s="511">
        <f t="shared" si="2"/>
        <v>12285573.692222223</v>
      </c>
      <c r="R21" s="511">
        <f t="shared" si="3"/>
        <v>145227406.30222222</v>
      </c>
    </row>
    <row r="22" spans="1:21" x14ac:dyDescent="0.3">
      <c r="A22" s="479" t="s">
        <v>165</v>
      </c>
      <c r="B22" s="479" t="s">
        <v>975</v>
      </c>
      <c r="C22" s="478">
        <v>2642098.2599999998</v>
      </c>
      <c r="D22" s="32">
        <v>2647433.7999999989</v>
      </c>
      <c r="E22" s="32">
        <v>2634630.1800000002</v>
      </c>
      <c r="F22" s="32">
        <v>2634630.1800000002</v>
      </c>
      <c r="G22" s="32">
        <v>2634630.1800000002</v>
      </c>
      <c r="H22" s="32">
        <v>2682053.4900000002</v>
      </c>
      <c r="I22" s="32">
        <v>2682053.4900000002</v>
      </c>
      <c r="J22" s="32">
        <v>2797952.75</v>
      </c>
      <c r="K22" s="32">
        <v>2721858.45</v>
      </c>
      <c r="L22" s="493">
        <v>22792738.68</v>
      </c>
      <c r="M22" s="509">
        <f t="shared" si="0"/>
        <v>24077340.779999997</v>
      </c>
      <c r="N22" s="510">
        <f t="shared" si="4"/>
        <v>2675260.0866666664</v>
      </c>
      <c r="O22" s="511">
        <f t="shared" si="5"/>
        <v>32103121.039999999</v>
      </c>
      <c r="P22" s="511">
        <f t="shared" si="1"/>
        <v>5350520.1733333329</v>
      </c>
      <c r="Q22" s="511">
        <f t="shared" si="2"/>
        <v>14660902.533333331</v>
      </c>
      <c r="R22" s="511">
        <f t="shared" si="3"/>
        <v>37453641.213333331</v>
      </c>
    </row>
    <row r="23" spans="1:21" x14ac:dyDescent="0.3">
      <c r="A23" s="479" t="s">
        <v>97</v>
      </c>
      <c r="B23" s="479" t="s">
        <v>839</v>
      </c>
      <c r="C23" s="478">
        <v>11416017.76</v>
      </c>
      <c r="D23" s="32">
        <v>10624753.279999999</v>
      </c>
      <c r="E23" s="32">
        <v>10922967.529999999</v>
      </c>
      <c r="F23" s="32">
        <v>8148620.5099999998</v>
      </c>
      <c r="G23" s="32">
        <v>8148620.5099999998</v>
      </c>
      <c r="H23" s="32">
        <v>8560046.4700000007</v>
      </c>
      <c r="I23" s="32">
        <v>9194838.1400000006</v>
      </c>
      <c r="J23" s="32">
        <v>8163151.04</v>
      </c>
      <c r="K23" s="32">
        <v>7694501.8200000003</v>
      </c>
      <c r="L23" s="493">
        <v>142035397.34</v>
      </c>
      <c r="M23" s="509">
        <f t="shared" si="0"/>
        <v>82873517.060000002</v>
      </c>
      <c r="N23" s="510">
        <f t="shared" si="4"/>
        <v>9208168.5622222219</v>
      </c>
      <c r="O23" s="511">
        <f t="shared" si="5"/>
        <v>110498022.74666667</v>
      </c>
      <c r="P23" s="511">
        <f t="shared" si="1"/>
        <v>18416337.124444444</v>
      </c>
      <c r="Q23" s="511">
        <f t="shared" si="2"/>
        <v>-13121037.468888894</v>
      </c>
      <c r="R23" s="511">
        <f t="shared" si="3"/>
        <v>128914359.87111111</v>
      </c>
    </row>
    <row r="24" spans="1:21" x14ac:dyDescent="0.3">
      <c r="A24" s="479" t="s">
        <v>109</v>
      </c>
      <c r="B24" s="479" t="s">
        <v>63</v>
      </c>
      <c r="C24" s="478">
        <v>12482887.98</v>
      </c>
      <c r="D24" s="32">
        <v>12241478.51</v>
      </c>
      <c r="E24" s="32">
        <v>12219315.119999999</v>
      </c>
      <c r="F24" s="32">
        <v>12263110.390000001</v>
      </c>
      <c r="G24" s="32">
        <v>12614848.24</v>
      </c>
      <c r="H24" s="32">
        <v>12379821.73</v>
      </c>
      <c r="I24" s="32">
        <v>13155756.6</v>
      </c>
      <c r="J24" s="32">
        <v>13134213.220000001</v>
      </c>
      <c r="K24" s="32">
        <v>12901878.49</v>
      </c>
      <c r="L24" s="493">
        <v>149263548.94</v>
      </c>
      <c r="M24" s="509">
        <f t="shared" si="0"/>
        <v>113393310.27999999</v>
      </c>
      <c r="N24" s="510">
        <f t="shared" si="4"/>
        <v>12599256.697777776</v>
      </c>
      <c r="O24" s="511">
        <f t="shared" si="5"/>
        <v>151191080.37333331</v>
      </c>
      <c r="P24" s="511">
        <f t="shared" si="1"/>
        <v>25198513.395555552</v>
      </c>
      <c r="Q24" s="511">
        <f t="shared" si="2"/>
        <v>27126044.828888863</v>
      </c>
      <c r="R24" s="511">
        <f t="shared" si="3"/>
        <v>176389593.76888886</v>
      </c>
      <c r="U24" s="491"/>
    </row>
    <row r="25" spans="1:21" x14ac:dyDescent="0.3">
      <c r="A25" s="479" t="s">
        <v>412</v>
      </c>
      <c r="B25" s="479" t="s">
        <v>409</v>
      </c>
      <c r="C25" s="478">
        <v>6961101.3000000035</v>
      </c>
      <c r="D25" s="32">
        <v>6561930.6900000023</v>
      </c>
      <c r="E25" s="32">
        <v>6146667.1299999999</v>
      </c>
      <c r="F25" s="32">
        <v>5357424.13</v>
      </c>
      <c r="G25" s="32">
        <v>5357424.13</v>
      </c>
      <c r="H25" s="32">
        <v>5786225.0800000001</v>
      </c>
      <c r="I25" s="32">
        <v>5722590.3899999997</v>
      </c>
      <c r="J25" s="32">
        <v>6148886.0700000003</v>
      </c>
      <c r="K25" s="32">
        <v>5782735.54</v>
      </c>
      <c r="L25" s="493">
        <v>84284644.329999998</v>
      </c>
      <c r="M25" s="509">
        <f t="shared" si="0"/>
        <v>53824984.460000001</v>
      </c>
      <c r="N25" s="510">
        <f t="shared" si="4"/>
        <v>5980553.8288888894</v>
      </c>
      <c r="O25" s="511">
        <f t="shared" si="5"/>
        <v>71766645.946666673</v>
      </c>
      <c r="P25" s="511">
        <f t="shared" si="1"/>
        <v>11961107.657777779</v>
      </c>
      <c r="Q25" s="511">
        <f t="shared" si="2"/>
        <v>-556890.72555555403</v>
      </c>
      <c r="R25" s="511">
        <f t="shared" si="3"/>
        <v>83727753.604444444</v>
      </c>
    </row>
    <row r="26" spans="1:21" x14ac:dyDescent="0.3">
      <c r="A26" s="479" t="s">
        <v>70</v>
      </c>
      <c r="B26" s="479" t="s">
        <v>311</v>
      </c>
      <c r="C26" s="478">
        <v>17272293.199999999</v>
      </c>
      <c r="D26" s="32">
        <v>16209689.78999999</v>
      </c>
      <c r="E26" s="32">
        <v>15865170.380000001</v>
      </c>
      <c r="F26" s="32">
        <v>15751085.449999999</v>
      </c>
      <c r="G26" s="32">
        <v>15435935.08</v>
      </c>
      <c r="H26" s="32">
        <v>15386199.43</v>
      </c>
      <c r="I26" s="32">
        <v>15635355.710000001</v>
      </c>
      <c r="J26" s="32">
        <v>15863306.890000001</v>
      </c>
      <c r="K26" s="32">
        <v>15817246.33</v>
      </c>
      <c r="L26" s="509">
        <v>208989908.63999999</v>
      </c>
      <c r="M26" s="509">
        <f>SUM(C26:L26)</f>
        <v>352226190.89999998</v>
      </c>
      <c r="N26" s="510">
        <f t="shared" si="4"/>
        <v>39136243.43333333</v>
      </c>
      <c r="O26" s="511">
        <f t="shared" si="5"/>
        <v>469634921.19999993</v>
      </c>
      <c r="P26" s="511">
        <f t="shared" si="1"/>
        <v>78272486.86666666</v>
      </c>
      <c r="Q26" s="511">
        <f t="shared" si="2"/>
        <v>338917499.42666662</v>
      </c>
      <c r="R26" s="511">
        <f t="shared" si="3"/>
        <v>547907408.0666666</v>
      </c>
    </row>
    <row r="27" spans="1:21" ht="15.75" customHeight="1" x14ac:dyDescent="0.3">
      <c r="A27" s="488" t="s">
        <v>565</v>
      </c>
      <c r="B27" s="481" t="s">
        <v>987</v>
      </c>
      <c r="C27" s="478"/>
      <c r="D27" s="32"/>
      <c r="E27" s="32"/>
      <c r="F27" s="32"/>
      <c r="G27" s="32"/>
      <c r="H27" s="32"/>
      <c r="I27" s="32"/>
      <c r="J27" s="32"/>
      <c r="K27" s="32"/>
      <c r="L27" s="493">
        <v>207945990.62</v>
      </c>
      <c r="M27" s="509"/>
      <c r="N27" s="510"/>
      <c r="O27" s="511"/>
      <c r="P27" s="511"/>
      <c r="Q27" s="511">
        <f t="shared" si="2"/>
        <v>-207945990.62</v>
      </c>
      <c r="R27" s="511"/>
    </row>
    <row r="28" spans="1:21" x14ac:dyDescent="0.3">
      <c r="A28" s="492" t="s">
        <v>41</v>
      </c>
      <c r="B28" s="479" t="s">
        <v>961</v>
      </c>
      <c r="C28" s="478">
        <v>56061015.209999971</v>
      </c>
      <c r="D28" s="32">
        <v>57668600.81999997</v>
      </c>
      <c r="E28" s="32">
        <v>56858962.780000001</v>
      </c>
      <c r="F28" s="32">
        <v>54562576.100000001</v>
      </c>
      <c r="G28" s="32">
        <v>54789265.420000002</v>
      </c>
      <c r="H28" s="32">
        <v>54789662.189999998</v>
      </c>
      <c r="I28" s="32">
        <v>55293392.409999996</v>
      </c>
      <c r="J28" s="32">
        <v>56119525.130000003</v>
      </c>
      <c r="K28" s="32">
        <v>52837410.25</v>
      </c>
      <c r="L28" s="493">
        <v>681839591.27999997</v>
      </c>
      <c r="M28" s="509">
        <f>SUM(C28:K28)</f>
        <v>498980410.30999994</v>
      </c>
      <c r="N28" s="510">
        <f t="shared" si="4"/>
        <v>55442267.812222213</v>
      </c>
      <c r="O28" s="511">
        <f t="shared" si="5"/>
        <v>665307213.74666655</v>
      </c>
      <c r="P28" s="511">
        <f t="shared" ref="P28:P72" si="6">N28*2</f>
        <v>110884535.62444443</v>
      </c>
      <c r="Q28" s="511">
        <f t="shared" si="2"/>
        <v>94352158.091110945</v>
      </c>
      <c r="R28" s="511">
        <f t="shared" ref="R28:R72" si="7">N28*14</f>
        <v>776191749.37111092</v>
      </c>
    </row>
    <row r="29" spans="1:21" x14ac:dyDescent="0.3">
      <c r="A29" s="492" t="s">
        <v>160</v>
      </c>
      <c r="B29" s="479" t="s">
        <v>967</v>
      </c>
      <c r="C29" s="478">
        <v>667388973.95000172</v>
      </c>
      <c r="D29" s="32">
        <v>677690085.29000247</v>
      </c>
      <c r="E29" s="32">
        <v>697342984.35000002</v>
      </c>
      <c r="F29" s="32">
        <v>655043574.76999998</v>
      </c>
      <c r="G29" s="32">
        <v>679173868.55999994</v>
      </c>
      <c r="H29" s="32">
        <v>663611749.82000005</v>
      </c>
      <c r="I29" s="32">
        <v>656025293.25</v>
      </c>
      <c r="J29" s="32">
        <v>645038081.04999995</v>
      </c>
      <c r="K29" s="32">
        <v>628164457.44000006</v>
      </c>
      <c r="L29" s="493">
        <v>8635893114.3500004</v>
      </c>
      <c r="M29" s="509">
        <f>SUM(C29:K29)</f>
        <v>5969479068.4800034</v>
      </c>
      <c r="N29" s="510">
        <f t="shared" si="4"/>
        <v>663275452.05333376</v>
      </c>
      <c r="O29" s="511">
        <f t="shared" si="5"/>
        <v>7959305424.6400051</v>
      </c>
      <c r="P29" s="511">
        <f t="shared" si="6"/>
        <v>1326550904.1066675</v>
      </c>
      <c r="Q29" s="511">
        <f t="shared" si="2"/>
        <v>649963214.3966732</v>
      </c>
      <c r="R29" s="511">
        <f t="shared" si="7"/>
        <v>9285856328.7466736</v>
      </c>
    </row>
    <row r="30" spans="1:21" x14ac:dyDescent="0.3">
      <c r="A30" s="492" t="s">
        <v>84</v>
      </c>
      <c r="B30" s="479" t="s">
        <v>815</v>
      </c>
      <c r="C30" s="478">
        <v>31600290.03999998</v>
      </c>
      <c r="D30" s="32">
        <v>30136890.45999999</v>
      </c>
      <c r="E30" s="32">
        <v>30457204.100000001</v>
      </c>
      <c r="F30" s="32">
        <v>29222586.149999999</v>
      </c>
      <c r="G30" s="32">
        <v>30086914.289999999</v>
      </c>
      <c r="H30" s="32">
        <v>30473531.899999999</v>
      </c>
      <c r="I30" s="32">
        <v>29496309.84</v>
      </c>
      <c r="J30" s="32">
        <v>27896489.530000001</v>
      </c>
      <c r="K30" s="32">
        <v>27645133.719999999</v>
      </c>
      <c r="L30" s="493">
        <v>430645832.88</v>
      </c>
      <c r="M30" s="509">
        <f>SUM(C30:K30)+30000000</f>
        <v>297015350.02999997</v>
      </c>
      <c r="N30" s="510">
        <f t="shared" si="4"/>
        <v>33001705.558888886</v>
      </c>
      <c r="O30" s="511">
        <f t="shared" si="5"/>
        <v>396020466.70666665</v>
      </c>
      <c r="P30" s="511">
        <f t="shared" si="6"/>
        <v>66003411.117777772</v>
      </c>
      <c r="Q30" s="511">
        <f t="shared" si="2"/>
        <v>31378044.944444418</v>
      </c>
      <c r="R30" s="511">
        <f t="shared" si="7"/>
        <v>462023877.82444441</v>
      </c>
    </row>
    <row r="31" spans="1:21" x14ac:dyDescent="0.3">
      <c r="A31" s="492" t="s">
        <v>85</v>
      </c>
      <c r="B31" s="479" t="s">
        <v>816</v>
      </c>
      <c r="C31" s="478">
        <v>2598923.27</v>
      </c>
      <c r="D31" s="32">
        <v>2610334.34</v>
      </c>
      <c r="E31" s="32">
        <v>2336720.34</v>
      </c>
      <c r="F31" s="32">
        <v>2270699.84</v>
      </c>
      <c r="G31" s="32">
        <v>2270699.84</v>
      </c>
      <c r="H31" s="32">
        <v>2238933.25</v>
      </c>
      <c r="I31" s="32">
        <v>2210280.61</v>
      </c>
      <c r="J31" s="32">
        <v>2556698.0299999998</v>
      </c>
      <c r="K31" s="32">
        <v>2508219.59</v>
      </c>
      <c r="L31" s="493">
        <v>59782892.119999997</v>
      </c>
      <c r="M31" s="509">
        <f>SUM(C31:K31)+2000000</f>
        <v>23601509.109999999</v>
      </c>
      <c r="N31" s="510">
        <f t="shared" si="4"/>
        <v>2622389.901111111</v>
      </c>
      <c r="O31" s="511">
        <f t="shared" si="5"/>
        <v>31468678.813333333</v>
      </c>
      <c r="P31" s="511">
        <f t="shared" si="6"/>
        <v>5244779.8022222221</v>
      </c>
      <c r="Q31" s="511">
        <f t="shared" si="2"/>
        <v>-23069433.504444443</v>
      </c>
      <c r="R31" s="511">
        <f t="shared" si="7"/>
        <v>36713458.615555555</v>
      </c>
    </row>
    <row r="32" spans="1:21" ht="14.25" customHeight="1" x14ac:dyDescent="0.3">
      <c r="A32" s="488" t="s">
        <v>134</v>
      </c>
      <c r="B32" s="481" t="s">
        <v>432</v>
      </c>
      <c r="C32" s="478">
        <v>10012779.16</v>
      </c>
      <c r="D32" s="32">
        <v>9674753.4700000007</v>
      </c>
      <c r="E32" s="32">
        <v>9479376.1099999994</v>
      </c>
      <c r="F32" s="32">
        <v>9438318.9199999999</v>
      </c>
      <c r="G32" s="32">
        <v>10083594.609999999</v>
      </c>
      <c r="H32" s="32">
        <v>10453188.98</v>
      </c>
      <c r="I32" s="32">
        <v>12754204.300000001</v>
      </c>
      <c r="J32" s="32">
        <v>10714775.039999999</v>
      </c>
      <c r="K32" s="32">
        <v>10443545.199999999</v>
      </c>
      <c r="L32" s="493">
        <v>116620480.23999999</v>
      </c>
      <c r="M32" s="509">
        <f t="shared" ref="M32:M60" si="8">SUM(C32:K32)</f>
        <v>93054535.790000007</v>
      </c>
      <c r="N32" s="510">
        <f t="shared" si="4"/>
        <v>10339392.865555556</v>
      </c>
      <c r="O32" s="511">
        <f t="shared" si="5"/>
        <v>124072714.38666669</v>
      </c>
      <c r="P32" s="511">
        <f t="shared" si="6"/>
        <v>20678785.731111113</v>
      </c>
      <c r="Q32" s="511">
        <f t="shared" si="2"/>
        <v>28131019.8777778</v>
      </c>
      <c r="R32" s="511">
        <f t="shared" si="7"/>
        <v>144751500.11777779</v>
      </c>
    </row>
    <row r="33" spans="1:18" x14ac:dyDescent="0.3">
      <c r="A33" s="492" t="s">
        <v>89</v>
      </c>
      <c r="B33" s="479" t="s">
        <v>822</v>
      </c>
      <c r="C33" s="478">
        <v>18179384.370000001</v>
      </c>
      <c r="D33" s="32">
        <v>18134697.190000001</v>
      </c>
      <c r="E33" s="32">
        <v>17806543.030000001</v>
      </c>
      <c r="F33" s="32">
        <v>16812127.93</v>
      </c>
      <c r="G33" s="32">
        <v>16946326.149999999</v>
      </c>
      <c r="H33" s="32">
        <v>17231710.510000002</v>
      </c>
      <c r="I33" s="32">
        <v>17462778.600000001</v>
      </c>
      <c r="J33" s="32">
        <v>17627483.59</v>
      </c>
      <c r="K33" s="32">
        <v>18009297.66</v>
      </c>
      <c r="L33" s="493">
        <v>221481575.63</v>
      </c>
      <c r="M33" s="509">
        <f t="shared" si="8"/>
        <v>158210349.03000003</v>
      </c>
      <c r="N33" s="510">
        <f t="shared" si="4"/>
        <v>17578927.670000002</v>
      </c>
      <c r="O33" s="511">
        <f t="shared" si="5"/>
        <v>210947132.04000002</v>
      </c>
      <c r="P33" s="511">
        <f t="shared" si="6"/>
        <v>35157855.340000004</v>
      </c>
      <c r="Q33" s="511">
        <f t="shared" si="2"/>
        <v>24623411.75000003</v>
      </c>
      <c r="R33" s="511">
        <f t="shared" si="7"/>
        <v>246104987.38000003</v>
      </c>
    </row>
    <row r="34" spans="1:18" x14ac:dyDescent="0.3">
      <c r="A34" s="479" t="s">
        <v>59</v>
      </c>
      <c r="B34" s="479" t="s">
        <v>921</v>
      </c>
      <c r="C34" s="478">
        <v>23398446.759999972</v>
      </c>
      <c r="D34" s="32">
        <v>23616963.209999971</v>
      </c>
      <c r="E34" s="32">
        <v>23494376.030000001</v>
      </c>
      <c r="F34" s="32">
        <v>23140678.640000001</v>
      </c>
      <c r="G34" s="32">
        <v>23134034.539999999</v>
      </c>
      <c r="H34" s="32">
        <v>23801054.629999999</v>
      </c>
      <c r="I34" s="32">
        <v>23562594.66</v>
      </c>
      <c r="J34" s="32">
        <v>23275891.43</v>
      </c>
      <c r="K34" s="32">
        <v>23170079.93</v>
      </c>
      <c r="L34" s="493">
        <v>277041479.50999999</v>
      </c>
      <c r="M34" s="509">
        <f t="shared" si="8"/>
        <v>210594119.82999995</v>
      </c>
      <c r="N34" s="510">
        <f t="shared" si="4"/>
        <v>23399346.647777773</v>
      </c>
      <c r="O34" s="511">
        <f t="shared" si="5"/>
        <v>280792159.77333331</v>
      </c>
      <c r="P34" s="511">
        <f t="shared" si="6"/>
        <v>46798693.295555547</v>
      </c>
      <c r="Q34" s="511">
        <f t="shared" si="2"/>
        <v>50549373.558888853</v>
      </c>
      <c r="R34" s="511">
        <f t="shared" si="7"/>
        <v>327590853.06888884</v>
      </c>
    </row>
    <row r="35" spans="1:18" x14ac:dyDescent="0.3">
      <c r="A35" s="479" t="s">
        <v>569</v>
      </c>
      <c r="B35" s="479" t="s">
        <v>813</v>
      </c>
      <c r="C35" s="478">
        <v>1483737.98</v>
      </c>
      <c r="D35" s="32">
        <v>1483737.98</v>
      </c>
      <c r="E35" s="32">
        <v>1483737.98</v>
      </c>
      <c r="F35" s="32">
        <v>1483737.98</v>
      </c>
      <c r="G35" s="32">
        <v>1483737.98</v>
      </c>
      <c r="H35" s="32">
        <v>1510445.29</v>
      </c>
      <c r="I35" s="32">
        <v>1510445.29</v>
      </c>
      <c r="J35" s="32">
        <v>1392265.54</v>
      </c>
      <c r="K35" s="32">
        <v>1315630.79</v>
      </c>
      <c r="L35" s="493">
        <v>17871373.41</v>
      </c>
      <c r="M35" s="509">
        <f t="shared" si="8"/>
        <v>13147476.809999999</v>
      </c>
      <c r="N35" s="510">
        <f t="shared" si="4"/>
        <v>1460830.7566666666</v>
      </c>
      <c r="O35" s="511">
        <f t="shared" si="5"/>
        <v>17529969.079999998</v>
      </c>
      <c r="P35" s="511">
        <f t="shared" si="6"/>
        <v>2921661.5133333332</v>
      </c>
      <c r="Q35" s="511">
        <f t="shared" si="2"/>
        <v>2580257.1833333336</v>
      </c>
      <c r="R35" s="511">
        <f t="shared" si="7"/>
        <v>20451630.593333334</v>
      </c>
    </row>
    <row r="36" spans="1:18" x14ac:dyDescent="0.3">
      <c r="A36" s="479" t="s">
        <v>568</v>
      </c>
      <c r="B36" s="479" t="s">
        <v>812</v>
      </c>
      <c r="C36" s="478">
        <v>777726.9</v>
      </c>
      <c r="D36" s="32">
        <v>777726.9</v>
      </c>
      <c r="E36" s="32">
        <v>789467.18</v>
      </c>
      <c r="F36" s="32">
        <v>778204.58</v>
      </c>
      <c r="G36" s="32">
        <v>778204.58</v>
      </c>
      <c r="H36" s="32">
        <v>792212.28</v>
      </c>
      <c r="I36" s="32">
        <v>923822.37</v>
      </c>
      <c r="J36" s="32">
        <v>899211.01</v>
      </c>
      <c r="K36" s="32">
        <v>895241.63</v>
      </c>
      <c r="L36" s="493">
        <v>10157263.050000001</v>
      </c>
      <c r="M36" s="509">
        <f t="shared" si="8"/>
        <v>7411817.4299999997</v>
      </c>
      <c r="N36" s="510">
        <f t="shared" si="4"/>
        <v>823535.27</v>
      </c>
      <c r="O36" s="511">
        <f t="shared" si="5"/>
        <v>9882423.2400000002</v>
      </c>
      <c r="P36" s="511">
        <f t="shared" si="6"/>
        <v>1647070.54</v>
      </c>
      <c r="Q36" s="511">
        <f t="shared" si="2"/>
        <v>1372230.7300000004</v>
      </c>
      <c r="R36" s="511">
        <f t="shared" si="7"/>
        <v>11529493.780000001</v>
      </c>
    </row>
    <row r="37" spans="1:18" x14ac:dyDescent="0.3">
      <c r="A37" s="479" t="s">
        <v>133</v>
      </c>
      <c r="B37" s="479" t="s">
        <v>323</v>
      </c>
      <c r="C37" s="478">
        <v>16230850.65000001</v>
      </c>
      <c r="D37" s="32">
        <v>16399791.31000001</v>
      </c>
      <c r="E37" s="32">
        <v>20463092.539999999</v>
      </c>
      <c r="F37" s="32">
        <v>16210441.32</v>
      </c>
      <c r="G37" s="32">
        <v>17899531.300000001</v>
      </c>
      <c r="H37" s="32">
        <v>17422718.879999999</v>
      </c>
      <c r="I37" s="32">
        <v>16525193.720000001</v>
      </c>
      <c r="J37" s="32">
        <v>16820712.52</v>
      </c>
      <c r="K37" s="32">
        <v>15112968.449999999</v>
      </c>
      <c r="L37" s="493">
        <v>199954159.83000001</v>
      </c>
      <c r="M37" s="509">
        <f t="shared" si="8"/>
        <v>153085300.69</v>
      </c>
      <c r="N37" s="510">
        <f t="shared" si="4"/>
        <v>17009477.854444444</v>
      </c>
      <c r="O37" s="511">
        <f t="shared" si="5"/>
        <v>204113734.25333333</v>
      </c>
      <c r="P37" s="511">
        <f t="shared" si="6"/>
        <v>34018955.708888888</v>
      </c>
      <c r="Q37" s="511">
        <f t="shared" si="2"/>
        <v>38178530.132222205</v>
      </c>
      <c r="R37" s="511">
        <f t="shared" si="7"/>
        <v>238132689.96222222</v>
      </c>
    </row>
    <row r="38" spans="1:18" x14ac:dyDescent="0.3">
      <c r="A38" s="479" t="s">
        <v>138</v>
      </c>
      <c r="B38" s="479" t="s">
        <v>922</v>
      </c>
      <c r="C38" s="478">
        <v>543178.36</v>
      </c>
      <c r="D38" s="32">
        <v>543178.36</v>
      </c>
      <c r="E38" s="32">
        <v>546217.16</v>
      </c>
      <c r="F38" s="32">
        <v>546217.16</v>
      </c>
      <c r="G38" s="32">
        <v>546217.16</v>
      </c>
      <c r="H38" s="32">
        <v>556049.05000000005</v>
      </c>
      <c r="I38" s="32">
        <v>556049.05000000005</v>
      </c>
      <c r="J38" s="32">
        <v>563732.73</v>
      </c>
      <c r="K38" s="32">
        <v>556049.05000000005</v>
      </c>
      <c r="L38" s="512">
        <v>6933872.21</v>
      </c>
      <c r="M38" s="509">
        <f t="shared" si="8"/>
        <v>4956888.0799999991</v>
      </c>
      <c r="N38" s="510">
        <f t="shared" si="4"/>
        <v>550765.34222222213</v>
      </c>
      <c r="O38" s="511">
        <f t="shared" si="5"/>
        <v>6609184.1066666655</v>
      </c>
      <c r="P38" s="511">
        <f t="shared" si="6"/>
        <v>1101530.6844444443</v>
      </c>
      <c r="Q38" s="511">
        <f t="shared" si="2"/>
        <v>776842.58111110982</v>
      </c>
      <c r="R38" s="511">
        <f t="shared" si="7"/>
        <v>7710714.7911111098</v>
      </c>
    </row>
    <row r="39" spans="1:18" x14ac:dyDescent="0.3">
      <c r="A39" s="479" t="s">
        <v>148</v>
      </c>
      <c r="B39" s="479" t="s">
        <v>943</v>
      </c>
      <c r="C39" s="478">
        <v>3233172.7699999991</v>
      </c>
      <c r="D39" s="32">
        <v>3356492.0499999989</v>
      </c>
      <c r="E39" s="32">
        <v>3247586.74</v>
      </c>
      <c r="F39" s="32">
        <v>2949471.93</v>
      </c>
      <c r="G39" s="32">
        <v>3008724.2</v>
      </c>
      <c r="H39" s="32">
        <v>2957938.85</v>
      </c>
      <c r="I39" s="32">
        <v>3562939.01</v>
      </c>
      <c r="J39" s="32">
        <v>3245645.82</v>
      </c>
      <c r="K39" s="32">
        <v>2903276.25</v>
      </c>
      <c r="L39" s="493">
        <v>40710307.259999998</v>
      </c>
      <c r="M39" s="509">
        <f t="shared" si="8"/>
        <v>28465247.619999997</v>
      </c>
      <c r="N39" s="510">
        <f t="shared" si="4"/>
        <v>3162805.2911111107</v>
      </c>
      <c r="O39" s="511">
        <f t="shared" si="5"/>
        <v>37953663.493333325</v>
      </c>
      <c r="P39" s="511">
        <f t="shared" si="6"/>
        <v>6325610.5822222214</v>
      </c>
      <c r="Q39" s="511">
        <f t="shared" ref="Q39:Q70" si="9">R39-L39</f>
        <v>3568966.8155555502</v>
      </c>
      <c r="R39" s="511">
        <f t="shared" si="7"/>
        <v>44279274.075555548</v>
      </c>
    </row>
    <row r="40" spans="1:18" x14ac:dyDescent="0.3">
      <c r="A40" s="479" t="s">
        <v>54</v>
      </c>
      <c r="B40" s="479" t="s">
        <v>846</v>
      </c>
      <c r="C40" s="478">
        <v>6155121.7400000002</v>
      </c>
      <c r="D40" s="32">
        <v>6155121.7400000012</v>
      </c>
      <c r="E40" s="32">
        <v>6084109.2999999998</v>
      </c>
      <c r="F40" s="32">
        <v>6111344.6200000001</v>
      </c>
      <c r="G40" s="32">
        <v>6812242.6900000004</v>
      </c>
      <c r="H40" s="32">
        <v>6146619.0999999996</v>
      </c>
      <c r="I40" s="32">
        <v>6162038.0599999996</v>
      </c>
      <c r="J40" s="32">
        <v>6502051.6699999999</v>
      </c>
      <c r="K40" s="32">
        <v>6261898.71</v>
      </c>
      <c r="L40" s="493">
        <v>121704291.72</v>
      </c>
      <c r="M40" s="509">
        <f t="shared" si="8"/>
        <v>56390547.63000001</v>
      </c>
      <c r="N40" s="510">
        <f t="shared" si="4"/>
        <v>6265616.4033333343</v>
      </c>
      <c r="O40" s="511">
        <f t="shared" si="5"/>
        <v>75187396.840000004</v>
      </c>
      <c r="P40" s="511">
        <f t="shared" si="6"/>
        <v>12531232.806666669</v>
      </c>
      <c r="Q40" s="511">
        <f t="shared" si="9"/>
        <v>-33985662.073333323</v>
      </c>
      <c r="R40" s="511">
        <f t="shared" si="7"/>
        <v>87718629.646666676</v>
      </c>
    </row>
    <row r="41" spans="1:18" x14ac:dyDescent="0.3">
      <c r="A41" s="479" t="s">
        <v>116</v>
      </c>
      <c r="B41" s="479" t="s">
        <v>576</v>
      </c>
      <c r="C41" s="478">
        <v>3759754.99</v>
      </c>
      <c r="D41" s="32">
        <v>3684942.3</v>
      </c>
      <c r="E41" s="32">
        <v>3739756.18</v>
      </c>
      <c r="F41" s="32">
        <v>3522546.21</v>
      </c>
      <c r="G41" s="32">
        <v>3492971.42</v>
      </c>
      <c r="H41" s="32">
        <v>3678768.93</v>
      </c>
      <c r="I41" s="32">
        <v>3921821.54</v>
      </c>
      <c r="J41" s="32">
        <v>5096500.8899999997</v>
      </c>
      <c r="K41" s="32">
        <v>5436304.8200000003</v>
      </c>
      <c r="L41" s="493">
        <v>43052872.740000002</v>
      </c>
      <c r="M41" s="509">
        <f t="shared" si="8"/>
        <v>36333367.280000001</v>
      </c>
      <c r="N41" s="510">
        <f t="shared" si="4"/>
        <v>4037040.8088888889</v>
      </c>
      <c r="O41" s="511">
        <f t="shared" si="5"/>
        <v>48444489.706666663</v>
      </c>
      <c r="P41" s="511">
        <f t="shared" si="6"/>
        <v>8074081.6177777778</v>
      </c>
      <c r="Q41" s="511">
        <f t="shared" si="9"/>
        <v>13465698.584444441</v>
      </c>
      <c r="R41" s="511">
        <f t="shared" si="7"/>
        <v>56518571.324444443</v>
      </c>
    </row>
    <row r="42" spans="1:18" x14ac:dyDescent="0.3">
      <c r="A42" s="479" t="s">
        <v>578</v>
      </c>
      <c r="B42" s="479" t="s">
        <v>886</v>
      </c>
      <c r="C42" s="478">
        <v>45631003.210000038</v>
      </c>
      <c r="D42" s="32">
        <v>45177721.150000028</v>
      </c>
      <c r="E42" s="32">
        <v>44803773.229999997</v>
      </c>
      <c r="F42" s="32">
        <v>43589050.93</v>
      </c>
      <c r="G42" s="32">
        <v>43459397.759999998</v>
      </c>
      <c r="H42" s="32">
        <v>44280492.5</v>
      </c>
      <c r="I42" s="32">
        <v>40857494.939999998</v>
      </c>
      <c r="J42" s="32">
        <v>42035334.899999999</v>
      </c>
      <c r="K42" s="32">
        <v>42141597.630000003</v>
      </c>
      <c r="L42" s="513">
        <v>556777066.50999999</v>
      </c>
      <c r="M42" s="509">
        <f t="shared" si="8"/>
        <v>391975866.25</v>
      </c>
      <c r="N42" s="510">
        <f t="shared" si="4"/>
        <v>43552874.027777776</v>
      </c>
      <c r="O42" s="511">
        <f t="shared" si="5"/>
        <v>522634488.33333331</v>
      </c>
      <c r="P42" s="511">
        <f t="shared" si="6"/>
        <v>87105748.055555552</v>
      </c>
      <c r="Q42" s="511">
        <f t="shared" si="9"/>
        <v>52963169.878888845</v>
      </c>
      <c r="R42" s="511">
        <f t="shared" si="7"/>
        <v>609740236.38888884</v>
      </c>
    </row>
    <row r="43" spans="1:18" x14ac:dyDescent="0.3">
      <c r="A43" s="479" t="s">
        <v>113</v>
      </c>
      <c r="B43" s="479" t="s">
        <v>574</v>
      </c>
      <c r="C43" s="478">
        <v>15864832.78999999</v>
      </c>
      <c r="D43" s="32">
        <v>15540479.21999998</v>
      </c>
      <c r="E43" s="32">
        <v>15162418.34</v>
      </c>
      <c r="F43" s="32">
        <v>15297250.92</v>
      </c>
      <c r="G43" s="32">
        <v>17609577.859999999</v>
      </c>
      <c r="H43" s="32">
        <v>15230550.689999999</v>
      </c>
      <c r="I43" s="32">
        <v>16201403.9</v>
      </c>
      <c r="J43" s="32">
        <v>15502296.619999999</v>
      </c>
      <c r="K43" s="32">
        <v>15074774.039999999</v>
      </c>
      <c r="L43" s="493">
        <v>187627611.18000001</v>
      </c>
      <c r="M43" s="509">
        <f t="shared" si="8"/>
        <v>141483584.37999997</v>
      </c>
      <c r="N43" s="510">
        <f t="shared" si="4"/>
        <v>15720398.264444441</v>
      </c>
      <c r="O43" s="511">
        <f t="shared" si="5"/>
        <v>188644779.17333329</v>
      </c>
      <c r="P43" s="511">
        <f t="shared" si="6"/>
        <v>31440796.528888881</v>
      </c>
      <c r="Q43" s="511">
        <f t="shared" si="9"/>
        <v>32457964.522222161</v>
      </c>
      <c r="R43" s="511">
        <f t="shared" si="7"/>
        <v>220085575.70222217</v>
      </c>
    </row>
    <row r="44" spans="1:18" x14ac:dyDescent="0.3">
      <c r="A44" s="479" t="s">
        <v>189</v>
      </c>
      <c r="B44" s="479" t="s">
        <v>999</v>
      </c>
      <c r="C44" s="478">
        <v>0</v>
      </c>
      <c r="D44" s="32">
        <v>0</v>
      </c>
      <c r="E44" s="32">
        <v>0</v>
      </c>
      <c r="F44" s="32">
        <v>5487821.2300000004</v>
      </c>
      <c r="G44" s="32">
        <v>5551019.46</v>
      </c>
      <c r="H44" s="32">
        <v>5632375.1500000004</v>
      </c>
      <c r="I44" s="32">
        <v>5632375.1500000004</v>
      </c>
      <c r="J44" s="32">
        <v>5849457.0999999996</v>
      </c>
      <c r="K44" s="32">
        <v>5356415.7300000004</v>
      </c>
      <c r="L44" s="509"/>
      <c r="M44" s="509">
        <f t="shared" si="8"/>
        <v>33509463.820000004</v>
      </c>
      <c r="N44" s="510">
        <f t="shared" si="4"/>
        <v>3723273.7577777784</v>
      </c>
      <c r="O44" s="511">
        <f t="shared" si="5"/>
        <v>44679285.093333341</v>
      </c>
      <c r="P44" s="511">
        <f t="shared" si="6"/>
        <v>7446547.5155555569</v>
      </c>
      <c r="Q44" s="511">
        <f t="shared" si="9"/>
        <v>52125832.608888894</v>
      </c>
      <c r="R44" s="511">
        <f t="shared" si="7"/>
        <v>52125832.608888894</v>
      </c>
    </row>
    <row r="45" spans="1:18" x14ac:dyDescent="0.3">
      <c r="A45" s="479" t="s">
        <v>244</v>
      </c>
      <c r="B45" s="479" t="s">
        <v>1005</v>
      </c>
      <c r="C45" s="478">
        <v>0</v>
      </c>
      <c r="D45" s="32">
        <v>0</v>
      </c>
      <c r="E45" s="32">
        <v>2083087.13</v>
      </c>
      <c r="F45" s="32">
        <v>2070368.78</v>
      </c>
      <c r="G45" s="32">
        <v>2080468.93</v>
      </c>
      <c r="H45" s="32">
        <v>2106461.67</v>
      </c>
      <c r="I45" s="32">
        <v>2192110.2799999998</v>
      </c>
      <c r="J45" s="32">
        <v>2108367.81</v>
      </c>
      <c r="K45" s="32">
        <v>2108367.81</v>
      </c>
      <c r="L45" s="493">
        <v>36561656.399999999</v>
      </c>
      <c r="M45" s="509">
        <f t="shared" si="8"/>
        <v>14749232.41</v>
      </c>
      <c r="N45" s="510">
        <f t="shared" si="4"/>
        <v>1638803.6011111112</v>
      </c>
      <c r="O45" s="511">
        <f t="shared" si="5"/>
        <v>19665643.213333335</v>
      </c>
      <c r="P45" s="511">
        <f t="shared" si="6"/>
        <v>3277607.2022222225</v>
      </c>
      <c r="Q45" s="511">
        <f t="shared" si="9"/>
        <v>-13618405.984444439</v>
      </c>
      <c r="R45" s="511">
        <f t="shared" si="7"/>
        <v>22943250.415555559</v>
      </c>
    </row>
    <row r="46" spans="1:18" x14ac:dyDescent="0.3">
      <c r="A46" s="479" t="s">
        <v>188</v>
      </c>
      <c r="B46" s="508" t="s">
        <v>1053</v>
      </c>
      <c r="C46" s="478">
        <v>4562197.0999999996</v>
      </c>
      <c r="D46" s="32">
        <v>4735919.1100000003</v>
      </c>
      <c r="E46" s="32">
        <v>4523676.88</v>
      </c>
      <c r="F46" s="32">
        <v>4656659.9400000004</v>
      </c>
      <c r="G46" s="32">
        <v>4656659.9400000004</v>
      </c>
      <c r="H46" s="32">
        <v>4858988.7</v>
      </c>
      <c r="I46" s="32">
        <v>4833988.7</v>
      </c>
      <c r="J46" s="32">
        <v>5371615.75</v>
      </c>
      <c r="K46" s="32">
        <v>4935087.79</v>
      </c>
      <c r="L46" s="493">
        <v>44472214.759999998</v>
      </c>
      <c r="M46" s="509">
        <f t="shared" si="8"/>
        <v>43134793.910000004</v>
      </c>
      <c r="N46" s="510">
        <f t="shared" si="4"/>
        <v>4792754.8788888892</v>
      </c>
      <c r="O46" s="511">
        <f t="shared" si="5"/>
        <v>57513058.546666667</v>
      </c>
      <c r="P46" s="511">
        <f t="shared" si="6"/>
        <v>9585509.7577777784</v>
      </c>
      <c r="Q46" s="511">
        <f t="shared" si="9"/>
        <v>22626353.544444449</v>
      </c>
      <c r="R46" s="511">
        <f t="shared" si="7"/>
        <v>67098568.304444447</v>
      </c>
    </row>
    <row r="47" spans="1:18" x14ac:dyDescent="0.3">
      <c r="A47" s="479" t="s">
        <v>186</v>
      </c>
      <c r="B47" s="479" t="s">
        <v>877</v>
      </c>
      <c r="C47" s="478">
        <v>0</v>
      </c>
      <c r="D47" s="32">
        <v>0</v>
      </c>
      <c r="E47" s="32">
        <v>1125662.6100000001</v>
      </c>
      <c r="F47" s="32">
        <v>1125662.6100000001</v>
      </c>
      <c r="G47" s="32">
        <v>1125662.6100000001</v>
      </c>
      <c r="H47" s="32">
        <v>1145924.55</v>
      </c>
      <c r="I47" s="32">
        <v>1145924.55</v>
      </c>
      <c r="J47" s="32">
        <v>1275825.8899999999</v>
      </c>
      <c r="K47" s="32">
        <v>1145924.55</v>
      </c>
      <c r="L47" s="509"/>
      <c r="M47" s="509">
        <f t="shared" si="8"/>
        <v>8090587.3699999992</v>
      </c>
      <c r="N47" s="510">
        <f t="shared" si="4"/>
        <v>898954.15222222218</v>
      </c>
      <c r="O47" s="511">
        <f t="shared" si="5"/>
        <v>10787449.826666666</v>
      </c>
      <c r="P47" s="511">
        <f t="shared" si="6"/>
        <v>1797908.3044444444</v>
      </c>
      <c r="Q47" s="511">
        <f t="shared" si="9"/>
        <v>12585358.131111111</v>
      </c>
      <c r="R47" s="511">
        <f t="shared" si="7"/>
        <v>12585358.131111111</v>
      </c>
    </row>
    <row r="48" spans="1:18" x14ac:dyDescent="0.3">
      <c r="A48" s="479" t="s">
        <v>132</v>
      </c>
      <c r="B48" s="479" t="s">
        <v>906</v>
      </c>
      <c r="C48" s="478">
        <v>10466677.949999999</v>
      </c>
      <c r="D48" s="32">
        <v>10466677.949999999</v>
      </c>
      <c r="E48" s="32">
        <v>10838204.02</v>
      </c>
      <c r="F48" s="32">
        <v>10207097.810000001</v>
      </c>
      <c r="G48" s="32">
        <v>10424029.93</v>
      </c>
      <c r="H48" s="32">
        <v>10607757.82</v>
      </c>
      <c r="I48" s="32">
        <v>10322573.789999999</v>
      </c>
      <c r="J48" s="32">
        <v>10491713.92</v>
      </c>
      <c r="K48" s="32">
        <v>10308416.25</v>
      </c>
      <c r="L48" s="493">
        <v>125538836.77</v>
      </c>
      <c r="M48" s="509">
        <f t="shared" si="8"/>
        <v>94133149.439999998</v>
      </c>
      <c r="N48" s="510">
        <f t="shared" si="4"/>
        <v>10459238.826666666</v>
      </c>
      <c r="O48" s="511">
        <f t="shared" si="5"/>
        <v>125510865.91999999</v>
      </c>
      <c r="P48" s="511">
        <f t="shared" si="6"/>
        <v>20918477.653333332</v>
      </c>
      <c r="Q48" s="511">
        <f t="shared" si="9"/>
        <v>20890506.803333327</v>
      </c>
      <c r="R48" s="511">
        <f t="shared" si="7"/>
        <v>146429343.57333332</v>
      </c>
    </row>
    <row r="49" spans="1:18" x14ac:dyDescent="0.3">
      <c r="A49" s="479" t="s">
        <v>121</v>
      </c>
      <c r="B49" s="479" t="s">
        <v>577</v>
      </c>
      <c r="C49" s="478">
        <v>13232397.940000011</v>
      </c>
      <c r="D49" s="32">
        <v>13197283.619999999</v>
      </c>
      <c r="E49" s="32">
        <v>12702888.91</v>
      </c>
      <c r="F49" s="32">
        <v>12561755.949999999</v>
      </c>
      <c r="G49" s="32">
        <v>12685075.23</v>
      </c>
      <c r="H49" s="32">
        <v>13119374.970000001</v>
      </c>
      <c r="I49" s="32">
        <v>12984853.92</v>
      </c>
      <c r="J49" s="32">
        <v>12879140.9</v>
      </c>
      <c r="K49" s="32">
        <v>12758413.92</v>
      </c>
      <c r="L49" s="493">
        <v>151719415.47999999</v>
      </c>
      <c r="M49" s="509">
        <f t="shared" si="8"/>
        <v>116121185.36000003</v>
      </c>
      <c r="N49" s="510">
        <f t="shared" si="4"/>
        <v>12902353.928888893</v>
      </c>
      <c r="O49" s="511">
        <f t="shared" si="5"/>
        <v>154828247.14666671</v>
      </c>
      <c r="P49" s="511">
        <f t="shared" si="6"/>
        <v>25804707.857777786</v>
      </c>
      <c r="Q49" s="511">
        <f t="shared" si="9"/>
        <v>28913539.52444452</v>
      </c>
      <c r="R49" s="511">
        <f t="shared" si="7"/>
        <v>180632955.00444451</v>
      </c>
    </row>
    <row r="50" spans="1:18" x14ac:dyDescent="0.3">
      <c r="A50" s="479" t="s">
        <v>140</v>
      </c>
      <c r="B50" s="479" t="s">
        <v>932</v>
      </c>
      <c r="C50" s="478">
        <v>1965084.83</v>
      </c>
      <c r="D50" s="32">
        <v>1680108.2</v>
      </c>
      <c r="E50" s="32">
        <v>1615046.87</v>
      </c>
      <c r="F50" s="32">
        <v>1618120.39</v>
      </c>
      <c r="G50" s="32">
        <v>1618120.39</v>
      </c>
      <c r="H50" s="32">
        <v>1647246.57</v>
      </c>
      <c r="I50" s="32">
        <v>1663674.59</v>
      </c>
      <c r="J50" s="32">
        <v>1650850.33</v>
      </c>
      <c r="K50" s="32">
        <v>1589330.56</v>
      </c>
      <c r="L50" s="493">
        <v>18249916.550000001</v>
      </c>
      <c r="M50" s="509">
        <f t="shared" si="8"/>
        <v>15047582.73</v>
      </c>
      <c r="N50" s="510">
        <f t="shared" si="4"/>
        <v>1671953.6366666667</v>
      </c>
      <c r="O50" s="511">
        <f t="shared" si="5"/>
        <v>20063443.640000001</v>
      </c>
      <c r="P50" s="511">
        <f t="shared" si="6"/>
        <v>3343907.2733333334</v>
      </c>
      <c r="Q50" s="511">
        <f t="shared" si="9"/>
        <v>5157434.3633333333</v>
      </c>
      <c r="R50" s="511">
        <f t="shared" si="7"/>
        <v>23407350.913333334</v>
      </c>
    </row>
    <row r="51" spans="1:18" x14ac:dyDescent="0.3">
      <c r="A51" s="479" t="s">
        <v>79</v>
      </c>
      <c r="B51" s="479" t="s">
        <v>803</v>
      </c>
      <c r="C51" s="478">
        <v>4279105.55</v>
      </c>
      <c r="D51" s="32">
        <v>4190396.13</v>
      </c>
      <c r="E51" s="32">
        <v>4284400.5</v>
      </c>
      <c r="F51" s="32">
        <v>3985870.93</v>
      </c>
      <c r="G51" s="32">
        <v>4151403.35</v>
      </c>
      <c r="H51" s="32">
        <v>3711493.65</v>
      </c>
      <c r="I51" s="32">
        <v>3711493.65</v>
      </c>
      <c r="J51" s="32">
        <v>3899219.91</v>
      </c>
      <c r="K51" s="32">
        <v>3557877.16</v>
      </c>
      <c r="L51" s="493">
        <v>45410114.380000003</v>
      </c>
      <c r="M51" s="509">
        <f t="shared" si="8"/>
        <v>35771260.829999998</v>
      </c>
      <c r="N51" s="510">
        <f t="shared" si="4"/>
        <v>3974584.5366666666</v>
      </c>
      <c r="O51" s="511">
        <f t="shared" si="5"/>
        <v>47695014.439999998</v>
      </c>
      <c r="P51" s="511">
        <f t="shared" si="6"/>
        <v>7949169.0733333332</v>
      </c>
      <c r="Q51" s="511">
        <f t="shared" si="9"/>
        <v>10234069.133333333</v>
      </c>
      <c r="R51" s="511">
        <f t="shared" si="7"/>
        <v>55644183.513333336</v>
      </c>
    </row>
    <row r="52" spans="1:18" x14ac:dyDescent="0.3">
      <c r="A52" s="479" t="s">
        <v>96</v>
      </c>
      <c r="B52" s="479" t="s">
        <v>838</v>
      </c>
      <c r="C52" s="478">
        <v>0</v>
      </c>
      <c r="D52" s="32">
        <v>0</v>
      </c>
      <c r="E52" s="32">
        <v>0</v>
      </c>
      <c r="F52" s="32">
        <v>2954502.81</v>
      </c>
      <c r="G52" s="32">
        <v>2954502.81</v>
      </c>
      <c r="H52" s="32">
        <v>3007683.88</v>
      </c>
      <c r="I52" s="32">
        <v>3007683.88</v>
      </c>
      <c r="J52" s="32">
        <v>3024244.94</v>
      </c>
      <c r="K52" s="32">
        <v>3021270.92</v>
      </c>
      <c r="L52" s="509"/>
      <c r="M52" s="509">
        <f t="shared" si="8"/>
        <v>17969889.239999998</v>
      </c>
      <c r="N52" s="510">
        <f t="shared" si="4"/>
        <v>1996654.3599999999</v>
      </c>
      <c r="O52" s="511">
        <f t="shared" si="5"/>
        <v>23959852.32</v>
      </c>
      <c r="P52" s="511">
        <f t="shared" si="6"/>
        <v>3993308.7199999997</v>
      </c>
      <c r="Q52" s="511">
        <f t="shared" si="9"/>
        <v>27953161.039999999</v>
      </c>
      <c r="R52" s="511">
        <f t="shared" si="7"/>
        <v>27953161.039999999</v>
      </c>
    </row>
    <row r="53" spans="1:18" x14ac:dyDescent="0.3">
      <c r="A53" s="479" t="s">
        <v>90</v>
      </c>
      <c r="B53" s="479" t="s">
        <v>823</v>
      </c>
      <c r="C53" s="478">
        <v>14442046.79999999</v>
      </c>
      <c r="D53" s="32">
        <v>14423579.409999991</v>
      </c>
      <c r="E53" s="32">
        <v>14968040.890000001</v>
      </c>
      <c r="F53" s="32">
        <v>14179349.93</v>
      </c>
      <c r="G53" s="32">
        <v>13978444.83</v>
      </c>
      <c r="H53" s="32">
        <v>14230056.92</v>
      </c>
      <c r="I53" s="32">
        <v>14013735.68</v>
      </c>
      <c r="J53" s="32">
        <v>13736485.970000001</v>
      </c>
      <c r="K53" s="32">
        <v>14468023.060000001</v>
      </c>
      <c r="L53" s="493">
        <v>178252444.40000001</v>
      </c>
      <c r="M53" s="509">
        <f t="shared" si="8"/>
        <v>128439763.48999998</v>
      </c>
      <c r="N53" s="510">
        <f t="shared" si="4"/>
        <v>14271084.83222222</v>
      </c>
      <c r="O53" s="511">
        <f t="shared" si="5"/>
        <v>171253017.98666662</v>
      </c>
      <c r="P53" s="511">
        <f t="shared" si="6"/>
        <v>28542169.664444439</v>
      </c>
      <c r="Q53" s="511">
        <f t="shared" si="9"/>
        <v>21542743.25111106</v>
      </c>
      <c r="R53" s="511">
        <f t="shared" si="7"/>
        <v>199795187.65111107</v>
      </c>
    </row>
    <row r="54" spans="1:18" x14ac:dyDescent="0.3">
      <c r="A54" s="479" t="s">
        <v>92</v>
      </c>
      <c r="B54" s="479" t="s">
        <v>824</v>
      </c>
      <c r="C54" s="478">
        <v>2054757.3</v>
      </c>
      <c r="D54" s="32">
        <v>1906412.59</v>
      </c>
      <c r="E54" s="32">
        <v>1762100.84</v>
      </c>
      <c r="F54" s="32">
        <v>1625677.7</v>
      </c>
      <c r="G54" s="32">
        <v>1625677.7</v>
      </c>
      <c r="H54" s="32">
        <v>1741831.05</v>
      </c>
      <c r="I54" s="32">
        <v>1741831.05</v>
      </c>
      <c r="J54" s="32">
        <v>1773864.89</v>
      </c>
      <c r="K54" s="32">
        <v>1952391.67</v>
      </c>
      <c r="L54" s="493">
        <v>17518723.23</v>
      </c>
      <c r="M54" s="509">
        <f t="shared" si="8"/>
        <v>16184544.790000003</v>
      </c>
      <c r="N54" s="510">
        <f t="shared" si="4"/>
        <v>1798282.7544444448</v>
      </c>
      <c r="O54" s="511">
        <f t="shared" si="5"/>
        <v>21579393.053333338</v>
      </c>
      <c r="P54" s="511">
        <f t="shared" si="6"/>
        <v>3596565.5088888896</v>
      </c>
      <c r="Q54" s="511">
        <f t="shared" si="9"/>
        <v>7657235.332222227</v>
      </c>
      <c r="R54" s="511">
        <f t="shared" si="7"/>
        <v>25175958.562222227</v>
      </c>
    </row>
    <row r="55" spans="1:18" x14ac:dyDescent="0.3">
      <c r="A55" s="479" t="s">
        <v>91</v>
      </c>
      <c r="B55" s="479" t="s">
        <v>297</v>
      </c>
      <c r="C55" s="478">
        <v>4168994.9400000009</v>
      </c>
      <c r="D55" s="32">
        <v>4169198.700000002</v>
      </c>
      <c r="E55" s="32">
        <v>4185214.5</v>
      </c>
      <c r="F55" s="32">
        <v>4172136.31</v>
      </c>
      <c r="G55" s="32">
        <v>4092785.44</v>
      </c>
      <c r="H55" s="32">
        <v>4166455.59</v>
      </c>
      <c r="I55" s="32">
        <v>4167768.78</v>
      </c>
      <c r="J55" s="32">
        <v>4520338.8499999996</v>
      </c>
      <c r="K55" s="32">
        <v>4176334.07</v>
      </c>
      <c r="L55" s="493">
        <v>51124796.07</v>
      </c>
      <c r="M55" s="509">
        <f t="shared" si="8"/>
        <v>37819227.180000007</v>
      </c>
      <c r="N55" s="510">
        <f t="shared" si="4"/>
        <v>4202136.3533333344</v>
      </c>
      <c r="O55" s="511">
        <f t="shared" si="5"/>
        <v>50425636.24000001</v>
      </c>
      <c r="P55" s="511">
        <f t="shared" si="6"/>
        <v>8404272.7066666689</v>
      </c>
      <c r="Q55" s="511">
        <f t="shared" si="9"/>
        <v>7705112.87666668</v>
      </c>
      <c r="R55" s="511">
        <f t="shared" si="7"/>
        <v>58829908.94666668</v>
      </c>
    </row>
    <row r="56" spans="1:18" x14ac:dyDescent="0.3">
      <c r="A56" s="479" t="s">
        <v>78</v>
      </c>
      <c r="B56" s="479" t="s">
        <v>802</v>
      </c>
      <c r="C56" s="478">
        <v>3766585.870000001</v>
      </c>
      <c r="D56" s="32">
        <v>3653906.64</v>
      </c>
      <c r="E56" s="32">
        <v>3658696.9</v>
      </c>
      <c r="F56" s="32">
        <v>3543892.69</v>
      </c>
      <c r="G56" s="32">
        <v>3804152.27</v>
      </c>
      <c r="H56" s="32">
        <v>3768922.94</v>
      </c>
      <c r="I56" s="32">
        <v>3749701.82</v>
      </c>
      <c r="J56" s="32">
        <v>3784292.37</v>
      </c>
      <c r="K56" s="32">
        <v>3700236.64</v>
      </c>
      <c r="L56" s="493">
        <v>42887955.200000003</v>
      </c>
      <c r="M56" s="509">
        <f t="shared" si="8"/>
        <v>33430388.140000004</v>
      </c>
      <c r="N56" s="510">
        <f t="shared" si="4"/>
        <v>3714487.5711111114</v>
      </c>
      <c r="O56" s="511">
        <f t="shared" si="5"/>
        <v>44573850.853333339</v>
      </c>
      <c r="P56" s="511">
        <f t="shared" si="6"/>
        <v>7428975.1422222229</v>
      </c>
      <c r="Q56" s="511">
        <f t="shared" si="9"/>
        <v>9114870.7955555543</v>
      </c>
      <c r="R56" s="511">
        <f t="shared" si="7"/>
        <v>52002825.995555557</v>
      </c>
    </row>
    <row r="57" spans="1:18" x14ac:dyDescent="0.3">
      <c r="A57" s="479" t="s">
        <v>76</v>
      </c>
      <c r="B57" s="479" t="s">
        <v>801</v>
      </c>
      <c r="C57" s="478">
        <v>51545556.919999972</v>
      </c>
      <c r="D57" s="32">
        <v>42293992.179999977</v>
      </c>
      <c r="E57" s="32">
        <v>87981469.959999993</v>
      </c>
      <c r="F57" s="32">
        <v>41183743.909999996</v>
      </c>
      <c r="G57" s="32">
        <v>63742085.289999999</v>
      </c>
      <c r="H57" s="32">
        <v>59280855.240000002</v>
      </c>
      <c r="I57" s="32">
        <v>63702123.299999997</v>
      </c>
      <c r="J57" s="32">
        <v>74396363.25</v>
      </c>
      <c r="K57" s="32">
        <v>65581286.789999999</v>
      </c>
      <c r="L57" s="493">
        <v>1203678158.28</v>
      </c>
      <c r="M57" s="509">
        <f t="shared" si="8"/>
        <v>549707476.83999991</v>
      </c>
      <c r="N57" s="510">
        <f t="shared" si="4"/>
        <v>61078608.537777767</v>
      </c>
      <c r="O57" s="511">
        <f t="shared" si="5"/>
        <v>732943302.45333314</v>
      </c>
      <c r="P57" s="511">
        <f t="shared" si="6"/>
        <v>122157217.07555553</v>
      </c>
      <c r="Q57" s="511">
        <f t="shared" si="9"/>
        <v>-348577638.75111127</v>
      </c>
      <c r="R57" s="511">
        <f t="shared" si="7"/>
        <v>855100519.5288887</v>
      </c>
    </row>
    <row r="58" spans="1:18" x14ac:dyDescent="0.3">
      <c r="A58" s="479" t="s">
        <v>83</v>
      </c>
      <c r="B58" s="479" t="s">
        <v>615</v>
      </c>
      <c r="C58" s="478">
        <v>2499936.48</v>
      </c>
      <c r="D58" s="32">
        <v>2499936.48</v>
      </c>
      <c r="E58" s="32">
        <v>2411227.06</v>
      </c>
      <c r="F58" s="32">
        <v>2411227.06</v>
      </c>
      <c r="G58" s="32">
        <v>2411227.06</v>
      </c>
      <c r="H58" s="32">
        <v>2818547.71</v>
      </c>
      <c r="I58" s="32">
        <v>2818547.71</v>
      </c>
      <c r="J58" s="32">
        <v>3335908.07</v>
      </c>
      <c r="K58" s="32">
        <v>3254879.22</v>
      </c>
      <c r="L58" s="509"/>
      <c r="M58" s="509">
        <f t="shared" si="8"/>
        <v>24461436.850000001</v>
      </c>
      <c r="N58" s="510">
        <f t="shared" si="4"/>
        <v>2717937.4277777779</v>
      </c>
      <c r="O58" s="511">
        <f t="shared" si="5"/>
        <v>32615249.133333333</v>
      </c>
      <c r="P58" s="511">
        <f t="shared" si="6"/>
        <v>5435874.8555555558</v>
      </c>
      <c r="Q58" s="511">
        <f t="shared" si="9"/>
        <v>38051123.98888889</v>
      </c>
      <c r="R58" s="511">
        <f t="shared" si="7"/>
        <v>38051123.98888889</v>
      </c>
    </row>
    <row r="59" spans="1:18" x14ac:dyDescent="0.3">
      <c r="A59" s="479" t="s">
        <v>159</v>
      </c>
      <c r="B59" s="479" t="s">
        <v>959</v>
      </c>
      <c r="C59" s="478">
        <v>2023821.57</v>
      </c>
      <c r="D59" s="32">
        <v>2023821.57</v>
      </c>
      <c r="E59" s="32">
        <v>2343038.89</v>
      </c>
      <c r="F59" s="32">
        <v>2343038.89</v>
      </c>
      <c r="G59" s="32">
        <v>2343038.89</v>
      </c>
      <c r="H59" s="32">
        <v>2333802.63</v>
      </c>
      <c r="I59" s="32">
        <v>2463707.7000000002</v>
      </c>
      <c r="J59" s="32">
        <v>2818397.83</v>
      </c>
      <c r="K59" s="32">
        <v>2525390.0099999998</v>
      </c>
      <c r="L59" s="493">
        <v>31494981.07</v>
      </c>
      <c r="M59" s="509">
        <f t="shared" si="8"/>
        <v>21218057.979999997</v>
      </c>
      <c r="N59" s="510">
        <f t="shared" si="4"/>
        <v>2357561.9977777773</v>
      </c>
      <c r="O59" s="511">
        <f t="shared" si="5"/>
        <v>28290743.973333329</v>
      </c>
      <c r="P59" s="511">
        <f t="shared" si="6"/>
        <v>4715123.9955555545</v>
      </c>
      <c r="Q59" s="511">
        <f t="shared" si="9"/>
        <v>1510886.8988888822</v>
      </c>
      <c r="R59" s="511">
        <f t="shared" si="7"/>
        <v>33005867.968888883</v>
      </c>
    </row>
    <row r="60" spans="1:18" x14ac:dyDescent="0.3">
      <c r="A60" s="479" t="s">
        <v>82</v>
      </c>
      <c r="B60" s="479" t="s">
        <v>806</v>
      </c>
      <c r="C60" s="478">
        <v>3535726.6600000011</v>
      </c>
      <c r="D60" s="32">
        <v>3588055.78</v>
      </c>
      <c r="E60" s="32">
        <v>3612607.49</v>
      </c>
      <c r="F60" s="32">
        <v>3339099.44</v>
      </c>
      <c r="G60" s="32">
        <v>3339099.44</v>
      </c>
      <c r="H60" s="32">
        <v>3287620.94</v>
      </c>
      <c r="I60" s="32">
        <v>3273526.7</v>
      </c>
      <c r="J60" s="32">
        <v>3992738.8</v>
      </c>
      <c r="K60" s="32">
        <v>3630506.03</v>
      </c>
      <c r="L60" s="493">
        <v>36774325.649999999</v>
      </c>
      <c r="M60" s="509">
        <f t="shared" si="8"/>
        <v>31598981.280000005</v>
      </c>
      <c r="N60" s="510">
        <f t="shared" si="4"/>
        <v>3510997.9200000004</v>
      </c>
      <c r="O60" s="511">
        <f t="shared" si="5"/>
        <v>42131975.040000007</v>
      </c>
      <c r="P60" s="511">
        <f t="shared" si="6"/>
        <v>7021995.8400000008</v>
      </c>
      <c r="Q60" s="511">
        <f t="shared" si="9"/>
        <v>12379645.230000004</v>
      </c>
      <c r="R60" s="511">
        <f t="shared" si="7"/>
        <v>49153970.880000003</v>
      </c>
    </row>
    <row r="61" spans="1:18" x14ac:dyDescent="0.3">
      <c r="A61" s="479" t="s">
        <v>56</v>
      </c>
      <c r="B61" s="479" t="s">
        <v>978</v>
      </c>
      <c r="C61" s="478">
        <v>21138765.150000021</v>
      </c>
      <c r="D61" s="32">
        <v>21320148.350000009</v>
      </c>
      <c r="E61" s="32">
        <v>21268217.59</v>
      </c>
      <c r="F61" s="32">
        <v>21083607.68</v>
      </c>
      <c r="G61" s="32">
        <v>21371123.800000001</v>
      </c>
      <c r="H61" s="32">
        <v>21419811.52</v>
      </c>
      <c r="I61" s="32">
        <v>22253791.82</v>
      </c>
      <c r="J61" s="32">
        <v>21805848.530000001</v>
      </c>
      <c r="K61" s="32">
        <v>21921423.16</v>
      </c>
      <c r="L61" s="493">
        <v>284631409.20999998</v>
      </c>
      <c r="M61" s="509">
        <f>SUM(C61:K61)+35016000</f>
        <v>228598737.60000002</v>
      </c>
      <c r="N61" s="510">
        <f t="shared" si="4"/>
        <v>25399859.733333334</v>
      </c>
      <c r="O61" s="511">
        <f t="shared" si="5"/>
        <v>304798316.80000001</v>
      </c>
      <c r="P61" s="511">
        <f t="shared" si="6"/>
        <v>50799719.466666669</v>
      </c>
      <c r="Q61" s="511">
        <f t="shared" si="9"/>
        <v>70966627.056666672</v>
      </c>
      <c r="R61" s="511">
        <f t="shared" si="7"/>
        <v>355598036.26666665</v>
      </c>
    </row>
    <row r="62" spans="1:18" x14ac:dyDescent="0.3">
      <c r="A62" s="479" t="s">
        <v>101</v>
      </c>
      <c r="B62" s="479" t="s">
        <v>845</v>
      </c>
      <c r="C62" s="478">
        <v>18284829.45999999</v>
      </c>
      <c r="D62" s="32">
        <v>18221796.719999999</v>
      </c>
      <c r="E62" s="32">
        <v>18517345.77</v>
      </c>
      <c r="F62" s="32">
        <v>18336166.100000001</v>
      </c>
      <c r="G62" s="32">
        <v>18279016.199999999</v>
      </c>
      <c r="H62" s="32">
        <v>18606099.420000002</v>
      </c>
      <c r="I62" s="32">
        <v>18488467.620000001</v>
      </c>
      <c r="J62" s="32">
        <v>19600215.940000001</v>
      </c>
      <c r="K62" s="32">
        <v>19010480.469999999</v>
      </c>
      <c r="L62" s="493">
        <v>380362639.56</v>
      </c>
      <c r="M62" s="509">
        <f>SUM(C62:K62)</f>
        <v>167344417.69999999</v>
      </c>
      <c r="N62" s="510">
        <f t="shared" si="4"/>
        <v>18593824.188888889</v>
      </c>
      <c r="O62" s="511">
        <f t="shared" si="5"/>
        <v>223125890.26666665</v>
      </c>
      <c r="P62" s="511">
        <f t="shared" si="6"/>
        <v>37187648.377777778</v>
      </c>
      <c r="Q62" s="511">
        <f t="shared" si="9"/>
        <v>-120049100.91555557</v>
      </c>
      <c r="R62" s="511">
        <f t="shared" si="7"/>
        <v>260313538.64444444</v>
      </c>
    </row>
    <row r="63" spans="1:18" x14ac:dyDescent="0.3">
      <c r="A63" s="479" t="s">
        <v>117</v>
      </c>
      <c r="B63" s="479" t="s">
        <v>303</v>
      </c>
      <c r="C63" s="478">
        <v>7285942.620000001</v>
      </c>
      <c r="D63" s="32">
        <v>7468453.6100000013</v>
      </c>
      <c r="E63" s="32">
        <v>7643983.3399999999</v>
      </c>
      <c r="F63" s="32">
        <v>7505777.4900000002</v>
      </c>
      <c r="G63" s="32">
        <v>7505777.4900000002</v>
      </c>
      <c r="H63" s="32">
        <v>7469559.0099999998</v>
      </c>
      <c r="I63" s="32">
        <v>7593069.75</v>
      </c>
      <c r="J63" s="32">
        <v>7781458.8499999996</v>
      </c>
      <c r="K63" s="32">
        <v>7754453.9199999999</v>
      </c>
      <c r="L63" s="493">
        <v>85767108.730000004</v>
      </c>
      <c r="M63" s="509">
        <f>SUM(C63:K63)</f>
        <v>68008476.079999998</v>
      </c>
      <c r="N63" s="510">
        <f t="shared" si="4"/>
        <v>7556497.3422222221</v>
      </c>
      <c r="O63" s="511">
        <f t="shared" si="5"/>
        <v>90677968.106666669</v>
      </c>
      <c r="P63" s="511">
        <f t="shared" si="6"/>
        <v>15112994.684444444</v>
      </c>
      <c r="Q63" s="511">
        <f t="shared" si="9"/>
        <v>20023854.061111107</v>
      </c>
      <c r="R63" s="511">
        <f t="shared" si="7"/>
        <v>105790962.79111111</v>
      </c>
    </row>
    <row r="64" spans="1:18" x14ac:dyDescent="0.3">
      <c r="A64" s="479" t="s">
        <v>61</v>
      </c>
      <c r="B64" s="479" t="s">
        <v>965</v>
      </c>
      <c r="C64" s="478">
        <v>50011442.529999986</v>
      </c>
      <c r="D64" s="32">
        <v>49750869.209999971</v>
      </c>
      <c r="E64" s="32">
        <v>305210014.91000003</v>
      </c>
      <c r="F64" s="32">
        <v>112838560.02</v>
      </c>
      <c r="G64" s="32">
        <v>113594101</v>
      </c>
      <c r="H64" s="32">
        <v>116549289.45999999</v>
      </c>
      <c r="I64" s="32">
        <v>118087077.52</v>
      </c>
      <c r="J64" s="32">
        <v>118037896.45999999</v>
      </c>
      <c r="K64" s="32">
        <v>117915474.28</v>
      </c>
      <c r="L64" s="493">
        <v>524661818.02999997</v>
      </c>
      <c r="M64" s="509">
        <f>SUM(C64:K64)</f>
        <v>1101994725.3900001</v>
      </c>
      <c r="N64" s="510">
        <f t="shared" si="4"/>
        <v>122443858.37666668</v>
      </c>
      <c r="O64" s="511">
        <f t="shared" si="5"/>
        <v>1469326300.5200002</v>
      </c>
      <c r="P64" s="511">
        <f t="shared" si="6"/>
        <v>244887716.75333336</v>
      </c>
      <c r="Q64" s="511">
        <f t="shared" si="9"/>
        <v>1189552199.2433336</v>
      </c>
      <c r="R64" s="511">
        <f t="shared" si="7"/>
        <v>1714214017.2733335</v>
      </c>
    </row>
    <row r="65" spans="1:18" x14ac:dyDescent="0.3">
      <c r="A65" s="479" t="s">
        <v>100</v>
      </c>
      <c r="B65" s="479" t="s">
        <v>715</v>
      </c>
      <c r="C65" s="478">
        <v>2835100.47</v>
      </c>
      <c r="D65" s="32">
        <v>2887377.48</v>
      </c>
      <c r="E65" s="32">
        <v>2915870.64</v>
      </c>
      <c r="F65" s="32">
        <v>2988864.08</v>
      </c>
      <c r="G65" s="32">
        <v>3166033.29</v>
      </c>
      <c r="H65" s="32">
        <v>3472653.24</v>
      </c>
      <c r="I65" s="32">
        <v>3484062.38</v>
      </c>
      <c r="J65" s="32">
        <v>3386313.74</v>
      </c>
      <c r="K65" s="32">
        <v>3364945.88</v>
      </c>
      <c r="L65" s="493">
        <v>17325929.050000001</v>
      </c>
      <c r="M65" s="509">
        <f>SUM(C65:K65)</f>
        <v>28501221.199999999</v>
      </c>
      <c r="N65" s="510">
        <f t="shared" si="4"/>
        <v>3166802.3555555553</v>
      </c>
      <c r="O65" s="511">
        <f t="shared" si="5"/>
        <v>38001628.266666666</v>
      </c>
      <c r="P65" s="511">
        <f t="shared" si="6"/>
        <v>6333604.7111111106</v>
      </c>
      <c r="Q65" s="511">
        <f t="shared" si="9"/>
        <v>27009303.927777771</v>
      </c>
      <c r="R65" s="511">
        <f t="shared" si="7"/>
        <v>44335232.977777772</v>
      </c>
    </row>
    <row r="66" spans="1:18" x14ac:dyDescent="0.3">
      <c r="A66" s="479" t="s">
        <v>145</v>
      </c>
      <c r="B66" s="479" t="s">
        <v>940</v>
      </c>
      <c r="C66" s="478">
        <v>23533033.450000022</v>
      </c>
      <c r="D66" s="32">
        <v>22265827.660000011</v>
      </c>
      <c r="E66" s="32">
        <v>21325084.890000001</v>
      </c>
      <c r="F66" s="32">
        <v>21101464.469999999</v>
      </c>
      <c r="G66" s="32">
        <v>20904315.649999999</v>
      </c>
      <c r="H66" s="32">
        <v>20725593.690000001</v>
      </c>
      <c r="I66" s="32">
        <v>20514645.989999998</v>
      </c>
      <c r="J66" s="32">
        <v>22092991.149999999</v>
      </c>
      <c r="K66" s="32">
        <v>21465274.940000001</v>
      </c>
      <c r="L66" s="514">
        <v>319440997.45999998</v>
      </c>
      <c r="M66" s="509">
        <f>SUM(C66:K66)</f>
        <v>193928231.89000005</v>
      </c>
      <c r="N66" s="510">
        <f t="shared" si="4"/>
        <v>21547581.321111117</v>
      </c>
      <c r="O66" s="511">
        <f t="shared" si="5"/>
        <v>258570975.85333341</v>
      </c>
      <c r="P66" s="511">
        <f t="shared" si="6"/>
        <v>43095162.642222233</v>
      </c>
      <c r="Q66" s="511">
        <f t="shared" si="9"/>
        <v>-17774858.964444339</v>
      </c>
      <c r="R66" s="511">
        <f t="shared" si="7"/>
        <v>301666138.49555564</v>
      </c>
    </row>
    <row r="67" spans="1:18" x14ac:dyDescent="0.3">
      <c r="A67" s="479" t="s">
        <v>149</v>
      </c>
      <c r="B67" s="479" t="s">
        <v>948</v>
      </c>
      <c r="C67" s="478">
        <v>8916010.9800000023</v>
      </c>
      <c r="D67" s="32">
        <v>8839710.4100000001</v>
      </c>
      <c r="E67" s="32">
        <v>10114018.32</v>
      </c>
      <c r="F67" s="32">
        <v>7993433.0499999998</v>
      </c>
      <c r="G67" s="32">
        <v>7510355.3300000001</v>
      </c>
      <c r="H67" s="32">
        <v>7413331.54</v>
      </c>
      <c r="I67" s="32">
        <v>9438687.5</v>
      </c>
      <c r="J67" s="32">
        <v>8356981.96</v>
      </c>
      <c r="K67" s="32">
        <v>8189996.6699999999</v>
      </c>
      <c r="L67" s="493">
        <v>19724584558.369999</v>
      </c>
      <c r="M67" s="509">
        <f>SUM(C67:K67)+11632624193.12</f>
        <v>11709396718.880001</v>
      </c>
      <c r="N67" s="510">
        <f t="shared" si="4"/>
        <v>1301044079.8755558</v>
      </c>
      <c r="O67" s="511">
        <f t="shared" si="5"/>
        <v>15612528958.506668</v>
      </c>
      <c r="P67" s="511">
        <f t="shared" si="6"/>
        <v>2602088159.7511115</v>
      </c>
      <c r="Q67" s="511">
        <f t="shared" si="9"/>
        <v>-1509967440.1122169</v>
      </c>
      <c r="R67" s="511">
        <f t="shared" si="7"/>
        <v>18214617118.257782</v>
      </c>
    </row>
    <row r="68" spans="1:18" x14ac:dyDescent="0.3">
      <c r="A68" s="479" t="s">
        <v>198</v>
      </c>
      <c r="B68" s="479" t="s">
        <v>958</v>
      </c>
      <c r="C68" s="478">
        <v>35617370.109999992</v>
      </c>
      <c r="D68" s="32">
        <v>34876090.469999991</v>
      </c>
      <c r="E68" s="32">
        <v>34401946.350000001</v>
      </c>
      <c r="F68" s="32">
        <v>33867508.299999997</v>
      </c>
      <c r="G68" s="32">
        <v>34279452.600000001</v>
      </c>
      <c r="H68" s="32">
        <v>34815015.579999998</v>
      </c>
      <c r="I68" s="32">
        <v>34718683.509999998</v>
      </c>
      <c r="J68" s="32">
        <v>37361755.649999999</v>
      </c>
      <c r="K68" s="32">
        <v>34979947.270000003</v>
      </c>
      <c r="L68" s="493">
        <v>477358564.43000001</v>
      </c>
      <c r="M68" s="509">
        <f>SUM(C68:K68)+55725000</f>
        <v>370642769.83999991</v>
      </c>
      <c r="N68" s="510">
        <f t="shared" si="4"/>
        <v>41182529.982222214</v>
      </c>
      <c r="O68" s="511">
        <f t="shared" si="5"/>
        <v>494190359.78666657</v>
      </c>
      <c r="P68" s="511">
        <f t="shared" si="6"/>
        <v>82365059.964444429</v>
      </c>
      <c r="Q68" s="511">
        <f t="shared" si="9"/>
        <v>99196855.321111023</v>
      </c>
      <c r="R68" s="511">
        <f t="shared" si="7"/>
        <v>576555419.75111103</v>
      </c>
    </row>
    <row r="69" spans="1:18" x14ac:dyDescent="0.3">
      <c r="A69" s="479" t="s">
        <v>119</v>
      </c>
      <c r="B69" s="479" t="s">
        <v>881</v>
      </c>
      <c r="C69" s="478">
        <v>15152943.19999999</v>
      </c>
      <c r="D69" s="32">
        <v>15152943.199999999</v>
      </c>
      <c r="E69" s="32">
        <v>15762115.109999999</v>
      </c>
      <c r="F69" s="32">
        <v>15805776.57</v>
      </c>
      <c r="G69" s="32">
        <v>15805776.57</v>
      </c>
      <c r="H69" s="32">
        <v>16611427.300000001</v>
      </c>
      <c r="I69" s="32">
        <v>16548075.289999999</v>
      </c>
      <c r="J69" s="32">
        <v>17062487.25</v>
      </c>
      <c r="K69" s="32">
        <v>16627308</v>
      </c>
      <c r="L69" s="493">
        <v>184465490.58000001</v>
      </c>
      <c r="M69" s="509">
        <f>SUM(C69:K69)</f>
        <v>144528852.48999998</v>
      </c>
      <c r="N69" s="510">
        <f t="shared" si="4"/>
        <v>16058761.387777776</v>
      </c>
      <c r="O69" s="511">
        <f t="shared" si="5"/>
        <v>192705136.65333331</v>
      </c>
      <c r="P69" s="511">
        <f t="shared" si="6"/>
        <v>32117522.775555551</v>
      </c>
      <c r="Q69" s="511">
        <f t="shared" si="9"/>
        <v>40357168.848888844</v>
      </c>
      <c r="R69" s="511">
        <f t="shared" si="7"/>
        <v>224822659.42888886</v>
      </c>
    </row>
    <row r="70" spans="1:18" x14ac:dyDescent="0.3">
      <c r="A70" s="479" t="s">
        <v>55</v>
      </c>
      <c r="B70" s="479" t="s">
        <v>976</v>
      </c>
      <c r="C70" s="478">
        <v>15788138.389999989</v>
      </c>
      <c r="D70" s="32">
        <v>16273496.159999991</v>
      </c>
      <c r="E70" s="32">
        <v>16269832.5</v>
      </c>
      <c r="F70" s="32">
        <v>16112020.26</v>
      </c>
      <c r="G70" s="32">
        <v>16143911.689999999</v>
      </c>
      <c r="H70" s="32">
        <v>16636563.08</v>
      </c>
      <c r="I70" s="32">
        <v>17478238.440000001</v>
      </c>
      <c r="J70" s="32">
        <v>17592752.399999999</v>
      </c>
      <c r="K70" s="32">
        <v>16933043.41</v>
      </c>
      <c r="L70" s="493">
        <v>184562035.47999999</v>
      </c>
      <c r="M70" s="509">
        <f>SUM(C70:K70)+1000000</f>
        <v>150227996.32999998</v>
      </c>
      <c r="N70" s="510">
        <f t="shared" si="4"/>
        <v>16691999.592222221</v>
      </c>
      <c r="O70" s="511">
        <f t="shared" si="5"/>
        <v>200303995.10666665</v>
      </c>
      <c r="P70" s="511">
        <f t="shared" si="6"/>
        <v>33383999.184444442</v>
      </c>
      <c r="Q70" s="511">
        <f t="shared" si="9"/>
        <v>49125958.811111122</v>
      </c>
      <c r="R70" s="511">
        <f t="shared" si="7"/>
        <v>233687994.29111111</v>
      </c>
    </row>
    <row r="71" spans="1:18" x14ac:dyDescent="0.3">
      <c r="A71" s="479" t="s">
        <v>130</v>
      </c>
      <c r="B71" s="479" t="s">
        <v>749</v>
      </c>
      <c r="C71" s="478">
        <v>33804783.340000093</v>
      </c>
      <c r="D71" s="32">
        <v>33697519.390000083</v>
      </c>
      <c r="E71" s="32">
        <v>32504290.210000001</v>
      </c>
      <c r="F71" s="32">
        <v>31644722.620000001</v>
      </c>
      <c r="G71" s="32">
        <v>30899937.379999999</v>
      </c>
      <c r="H71" s="32">
        <v>31101369.949999999</v>
      </c>
      <c r="I71" s="32">
        <v>30944866.82</v>
      </c>
      <c r="J71" s="32">
        <v>31381062.289999999</v>
      </c>
      <c r="K71" s="32">
        <v>29968559.41</v>
      </c>
      <c r="L71" s="493">
        <v>427516793.17000002</v>
      </c>
      <c r="M71" s="509">
        <f>SUM(C71:K71)</f>
        <v>285947111.41000015</v>
      </c>
      <c r="N71" s="510">
        <f t="shared" si="4"/>
        <v>31771901.267777793</v>
      </c>
      <c r="O71" s="511">
        <f t="shared" si="5"/>
        <v>381262815.21333349</v>
      </c>
      <c r="P71" s="511">
        <f t="shared" si="6"/>
        <v>63543802.535555586</v>
      </c>
      <c r="Q71" s="511">
        <f t="shared" ref="Q71:Q82" si="10">R71-L71</f>
        <v>17289824.578889072</v>
      </c>
      <c r="R71" s="511">
        <f t="shared" si="7"/>
        <v>444806617.74888909</v>
      </c>
    </row>
    <row r="72" spans="1:18" x14ac:dyDescent="0.3">
      <c r="A72" s="479" t="s">
        <v>131</v>
      </c>
      <c r="B72" s="479" t="s">
        <v>903</v>
      </c>
      <c r="C72" s="478">
        <v>6070221.0099999998</v>
      </c>
      <c r="D72" s="32">
        <v>6070221.0100000007</v>
      </c>
      <c r="E72" s="32">
        <v>5860596.4299999997</v>
      </c>
      <c r="F72" s="32">
        <v>5855586.2699999996</v>
      </c>
      <c r="G72" s="32">
        <v>5753547.1399999997</v>
      </c>
      <c r="H72" s="32">
        <v>5857111.04</v>
      </c>
      <c r="I72" s="32">
        <v>6112456.2199999997</v>
      </c>
      <c r="J72" s="32">
        <v>6220714.04</v>
      </c>
      <c r="K72" s="32">
        <v>6181880.46</v>
      </c>
      <c r="L72" s="493">
        <v>73517538.090000004</v>
      </c>
      <c r="M72" s="509">
        <f>SUM(C72:K72)</f>
        <v>53982333.619999997</v>
      </c>
      <c r="N72" s="510">
        <f t="shared" si="4"/>
        <v>5998037.0688888887</v>
      </c>
      <c r="O72" s="511">
        <f t="shared" si="5"/>
        <v>71976444.826666668</v>
      </c>
      <c r="P72" s="511">
        <f t="shared" si="6"/>
        <v>11996074.137777777</v>
      </c>
      <c r="Q72" s="511">
        <f t="shared" si="10"/>
        <v>10454980.87444444</v>
      </c>
      <c r="R72" s="511">
        <f t="shared" si="7"/>
        <v>83972518.964444444</v>
      </c>
    </row>
    <row r="73" spans="1:18" x14ac:dyDescent="0.3">
      <c r="A73" s="479" t="s">
        <v>141</v>
      </c>
      <c r="B73" s="479" t="s">
        <v>586</v>
      </c>
      <c r="C73" s="478">
        <v>10984174.18</v>
      </c>
      <c r="D73" s="32">
        <v>10677047.539999999</v>
      </c>
      <c r="E73" s="32">
        <v>10674871.67</v>
      </c>
      <c r="F73" s="32">
        <v>10200149.529999999</v>
      </c>
      <c r="G73" s="32">
        <v>10232968.48</v>
      </c>
      <c r="H73" s="32">
        <v>10490538.380000001</v>
      </c>
      <c r="I73" s="32">
        <v>10166903.890000001</v>
      </c>
      <c r="J73" s="32">
        <v>10287960.439999999</v>
      </c>
      <c r="K73" s="32">
        <v>10766443.57</v>
      </c>
      <c r="L73" s="493">
        <v>141783813.78</v>
      </c>
      <c r="M73" s="509">
        <f t="shared" ref="M73:M75" si="11">SUM(C73:K73)</f>
        <v>94481057.680000007</v>
      </c>
      <c r="N73" s="510">
        <f t="shared" ref="N73:N79" si="12">M73/9</f>
        <v>10497895.297777779</v>
      </c>
      <c r="O73" s="511">
        <f t="shared" ref="O73:O79" si="13">M73/9*12</f>
        <v>125974743.57333335</v>
      </c>
      <c r="P73" s="511">
        <f t="shared" ref="P73:P79" si="14">N73*2</f>
        <v>20995790.595555559</v>
      </c>
      <c r="Q73" s="511">
        <f t="shared" si="10"/>
        <v>5186720.3888889253</v>
      </c>
      <c r="R73" s="511">
        <f t="shared" ref="R73:R79" si="15">N73*14</f>
        <v>146970534.16888893</v>
      </c>
    </row>
    <row r="74" spans="1:18" x14ac:dyDescent="0.3">
      <c r="A74" s="479" t="s">
        <v>62</v>
      </c>
      <c r="B74" s="479" t="s">
        <v>511</v>
      </c>
      <c r="C74" s="478">
        <v>30719113.130000021</v>
      </c>
      <c r="D74" s="32">
        <v>31656263.04000001</v>
      </c>
      <c r="E74" s="32">
        <v>36565136.899999999</v>
      </c>
      <c r="F74" s="32">
        <v>31361987.02</v>
      </c>
      <c r="G74" s="32">
        <v>34284176.009999998</v>
      </c>
      <c r="H74" s="32">
        <v>34739079.829999998</v>
      </c>
      <c r="I74" s="32">
        <v>35449524.689999998</v>
      </c>
      <c r="J74" s="32">
        <v>33144570.91</v>
      </c>
      <c r="K74" s="32">
        <v>32256183.559999999</v>
      </c>
      <c r="L74" s="493">
        <v>370215556.55000001</v>
      </c>
      <c r="M74" s="509">
        <f t="shared" si="11"/>
        <v>300176035.08999997</v>
      </c>
      <c r="N74" s="510">
        <f t="shared" si="12"/>
        <v>33352892.787777774</v>
      </c>
      <c r="O74" s="511">
        <f t="shared" si="13"/>
        <v>400234713.45333326</v>
      </c>
      <c r="P74" s="511">
        <f t="shared" si="14"/>
        <v>66705785.575555548</v>
      </c>
      <c r="Q74" s="511">
        <f t="shared" si="10"/>
        <v>96724942.47888881</v>
      </c>
      <c r="R74" s="511">
        <f t="shared" si="15"/>
        <v>466940499.02888882</v>
      </c>
    </row>
    <row r="75" spans="1:18" x14ac:dyDescent="0.3">
      <c r="A75" s="479" t="s">
        <v>139</v>
      </c>
      <c r="B75" s="479" t="s">
        <v>270</v>
      </c>
      <c r="C75" s="478">
        <v>3973320.13</v>
      </c>
      <c r="D75" s="32">
        <v>4019365.040000001</v>
      </c>
      <c r="E75" s="32">
        <v>4225607.0999999996</v>
      </c>
      <c r="F75" s="32">
        <v>3855016.81</v>
      </c>
      <c r="G75" s="32">
        <v>3855016.81</v>
      </c>
      <c r="H75" s="32">
        <v>3890963.44</v>
      </c>
      <c r="I75" s="32">
        <v>3874137.39</v>
      </c>
      <c r="J75" s="32">
        <v>3998012.4</v>
      </c>
      <c r="K75" s="32">
        <v>3857593.15</v>
      </c>
      <c r="L75" s="493">
        <v>41403644.920000002</v>
      </c>
      <c r="M75" s="509">
        <f t="shared" si="11"/>
        <v>35549032.270000003</v>
      </c>
      <c r="N75" s="510">
        <f t="shared" si="12"/>
        <v>3949892.4744444448</v>
      </c>
      <c r="O75" s="511">
        <f t="shared" si="13"/>
        <v>47398709.693333335</v>
      </c>
      <c r="P75" s="511">
        <f t="shared" si="14"/>
        <v>7899784.9488888895</v>
      </c>
      <c r="Q75" s="511">
        <f t="shared" si="10"/>
        <v>13894849.722222224</v>
      </c>
      <c r="R75" s="511">
        <f t="shared" si="15"/>
        <v>55298494.642222226</v>
      </c>
    </row>
    <row r="76" spans="1:18" x14ac:dyDescent="0.3">
      <c r="A76" s="479" t="s">
        <v>581</v>
      </c>
      <c r="B76" s="479" t="s">
        <v>915</v>
      </c>
      <c r="C76" s="478"/>
      <c r="D76" s="32"/>
      <c r="E76" s="32"/>
      <c r="F76" s="32"/>
      <c r="G76" s="32"/>
      <c r="H76" s="32"/>
      <c r="I76" s="32"/>
      <c r="J76" s="32"/>
      <c r="K76" s="32"/>
      <c r="L76" s="514">
        <v>799409818.86000001</v>
      </c>
      <c r="M76" s="509">
        <v>524088473.63</v>
      </c>
      <c r="N76" s="510">
        <f t="shared" si="12"/>
        <v>58232052.625555553</v>
      </c>
      <c r="O76" s="511">
        <f t="shared" si="13"/>
        <v>698784631.50666666</v>
      </c>
      <c r="P76" s="511">
        <f t="shared" si="14"/>
        <v>116464105.25111111</v>
      </c>
      <c r="Q76" s="511">
        <f t="shared" si="10"/>
        <v>15838917.897777677</v>
      </c>
      <c r="R76" s="511">
        <f t="shared" si="15"/>
        <v>815248736.75777769</v>
      </c>
    </row>
    <row r="77" spans="1:18" x14ac:dyDescent="0.3">
      <c r="A77" s="479" t="s">
        <v>68</v>
      </c>
      <c r="B77" s="479" t="s">
        <v>914</v>
      </c>
      <c r="C77" s="478"/>
      <c r="D77" s="32"/>
      <c r="E77" s="32"/>
      <c r="F77" s="32"/>
      <c r="G77" s="32"/>
      <c r="H77" s="32"/>
      <c r="I77" s="32"/>
      <c r="J77" s="32"/>
      <c r="K77" s="32"/>
      <c r="L77" s="514">
        <v>1634239114.2</v>
      </c>
      <c r="M77" s="509">
        <v>1095893593.99</v>
      </c>
      <c r="N77" s="510">
        <f t="shared" si="12"/>
        <v>121765954.88777778</v>
      </c>
      <c r="O77" s="511">
        <f t="shared" si="13"/>
        <v>1461191458.6533332</v>
      </c>
      <c r="P77" s="511">
        <f t="shared" si="14"/>
        <v>243531909.77555555</v>
      </c>
      <c r="Q77" s="511">
        <f t="shared" si="10"/>
        <v>70484254.22888875</v>
      </c>
      <c r="R77" s="511">
        <f t="shared" si="15"/>
        <v>1704723368.4288888</v>
      </c>
    </row>
    <row r="78" spans="1:18" x14ac:dyDescent="0.3">
      <c r="A78" s="479" t="s">
        <v>135</v>
      </c>
      <c r="B78" s="479" t="s">
        <v>916</v>
      </c>
      <c r="C78" s="478"/>
      <c r="D78" s="32"/>
      <c r="E78" s="32"/>
      <c r="F78" s="32"/>
      <c r="G78" s="32"/>
      <c r="H78" s="32"/>
      <c r="I78" s="32"/>
      <c r="J78" s="32"/>
      <c r="K78" s="32"/>
      <c r="L78" s="493">
        <v>83587086.090000004</v>
      </c>
      <c r="M78" s="509">
        <v>51272553.590000004</v>
      </c>
      <c r="N78" s="510">
        <f t="shared" si="12"/>
        <v>5696950.3988888897</v>
      </c>
      <c r="O78" s="511">
        <f t="shared" si="13"/>
        <v>68363404.786666676</v>
      </c>
      <c r="P78" s="511">
        <f t="shared" si="14"/>
        <v>11393900.797777779</v>
      </c>
      <c r="Q78" s="511">
        <f t="shared" si="10"/>
        <v>-3829780.5055555403</v>
      </c>
      <c r="R78" s="511">
        <f t="shared" si="15"/>
        <v>79757305.584444463</v>
      </c>
    </row>
    <row r="79" spans="1:18" x14ac:dyDescent="0.3">
      <c r="A79" s="479" t="s">
        <v>212</v>
      </c>
      <c r="B79" s="479" t="s">
        <v>842</v>
      </c>
      <c r="C79" s="32"/>
      <c r="D79" s="32"/>
      <c r="E79" s="32"/>
      <c r="F79" s="32"/>
      <c r="G79" s="32"/>
      <c r="H79" s="32"/>
      <c r="I79" s="32"/>
      <c r="J79" s="32"/>
      <c r="K79" s="32"/>
      <c r="L79" s="493">
        <v>12000000</v>
      </c>
      <c r="M79" s="509">
        <v>12000000</v>
      </c>
      <c r="N79" s="510">
        <f t="shared" si="12"/>
        <v>1333333.3333333333</v>
      </c>
      <c r="O79" s="511">
        <f t="shared" si="13"/>
        <v>16000000</v>
      </c>
      <c r="P79" s="511">
        <f t="shared" si="14"/>
        <v>2666666.6666666665</v>
      </c>
      <c r="Q79" s="511">
        <f t="shared" si="10"/>
        <v>6666666.6666666642</v>
      </c>
      <c r="R79" s="511">
        <f t="shared" si="15"/>
        <v>18666666.666666664</v>
      </c>
    </row>
    <row r="80" spans="1:18" ht="13.5" customHeight="1" x14ac:dyDescent="0.3">
      <c r="A80" s="488" t="s">
        <v>74</v>
      </c>
      <c r="B80" s="479" t="s">
        <v>562</v>
      </c>
      <c r="C80" s="32"/>
      <c r="D80" s="32"/>
      <c r="E80" s="32"/>
      <c r="F80" s="32"/>
      <c r="G80" s="32"/>
      <c r="H80" s="32"/>
      <c r="I80" s="32"/>
      <c r="J80" s="32"/>
      <c r="K80" s="32"/>
      <c r="L80" s="493">
        <v>13635471.41</v>
      </c>
      <c r="M80" s="509"/>
      <c r="N80" s="510"/>
      <c r="O80" s="511"/>
      <c r="P80" s="511"/>
      <c r="Q80" s="511">
        <f t="shared" si="10"/>
        <v>0</v>
      </c>
      <c r="R80" s="515">
        <v>13635471.41</v>
      </c>
    </row>
    <row r="81" spans="1:20" ht="13.5" customHeight="1" x14ac:dyDescent="0.3">
      <c r="A81" s="489" t="s">
        <v>573</v>
      </c>
      <c r="B81" s="479" t="s">
        <v>869</v>
      </c>
      <c r="C81" s="32"/>
      <c r="D81" s="32"/>
      <c r="E81" s="32"/>
      <c r="F81" s="32"/>
      <c r="G81" s="32"/>
      <c r="H81" s="32"/>
      <c r="I81" s="32"/>
      <c r="J81" s="32"/>
      <c r="K81" s="32"/>
      <c r="L81" s="493">
        <v>886804262.46000004</v>
      </c>
      <c r="M81" s="509"/>
      <c r="N81" s="510"/>
      <c r="O81" s="511"/>
      <c r="P81" s="511"/>
      <c r="Q81" s="511">
        <f t="shared" si="10"/>
        <v>-886804262.46000004</v>
      </c>
      <c r="R81" s="511"/>
    </row>
    <row r="82" spans="1:20" x14ac:dyDescent="0.3">
      <c r="A82" s="490" t="s">
        <v>573</v>
      </c>
      <c r="B82" s="482" t="s">
        <v>594</v>
      </c>
      <c r="C82" s="32"/>
      <c r="D82" s="32"/>
      <c r="E82" s="32"/>
      <c r="F82" s="32"/>
      <c r="G82" s="32"/>
      <c r="H82" s="32"/>
      <c r="I82" s="32"/>
      <c r="J82" s="32"/>
      <c r="K82" s="32"/>
      <c r="L82" s="493"/>
      <c r="M82" s="509"/>
      <c r="N82" s="510"/>
      <c r="O82" s="511"/>
      <c r="P82" s="511"/>
      <c r="Q82" s="511">
        <f t="shared" si="10"/>
        <v>915342668.78999996</v>
      </c>
      <c r="R82" s="229">
        <f>2175354262.46+55398000-10000000+600000000-92000000-698409593.67-80000000-5000000-70000000-960000000</f>
        <v>915342668.78999996</v>
      </c>
    </row>
    <row r="83" spans="1:20" x14ac:dyDescent="0.3">
      <c r="A83" s="338"/>
      <c r="B83" s="117" t="s">
        <v>23</v>
      </c>
      <c r="C83" s="117">
        <v>1612271543.7000027</v>
      </c>
      <c r="D83" s="117">
        <v>1605084619.6500034</v>
      </c>
      <c r="E83" s="117">
        <v>1929852936.3500001</v>
      </c>
      <c r="F83" s="117">
        <v>1623413332.27</v>
      </c>
      <c r="G83" s="117">
        <v>1680125078.3700004</v>
      </c>
      <c r="H83" s="117">
        <v>1668406485.9000006</v>
      </c>
      <c r="I83" s="117">
        <v>1671420195.8000004</v>
      </c>
      <c r="J83" s="117">
        <v>1678150913.8400004</v>
      </c>
      <c r="K83" s="117">
        <v>1638484892.6000009</v>
      </c>
      <c r="L83" s="554">
        <f>SUM(L7:L81)</f>
        <v>44046500999.999992</v>
      </c>
      <c r="M83" s="554">
        <f>SUM(M7:M82)</f>
        <v>28755819721.450016</v>
      </c>
      <c r="N83" s="555">
        <f>SUM(N7:N82)</f>
        <v>3195091080.1611114</v>
      </c>
      <c r="O83" s="555">
        <f>SUM(O8:O82)</f>
        <v>37925681455.786682</v>
      </c>
      <c r="P83" s="555">
        <f>SUM(P7:P82)</f>
        <v>6390182160.3222227</v>
      </c>
      <c r="Q83" s="555">
        <f>SUM(Q7:Q82)</f>
        <v>1613752262.4555693</v>
      </c>
      <c r="R83" s="555">
        <f>SUM(R7:R82)</f>
        <v>45660253262.455574</v>
      </c>
      <c r="T83">
        <v>0</v>
      </c>
    </row>
    <row r="86" spans="1:20" x14ac:dyDescent="0.3">
      <c r="R86" s="494"/>
    </row>
  </sheetData>
  <mergeCells count="4">
    <mergeCell ref="A1:R1"/>
    <mergeCell ref="A2:R2"/>
    <mergeCell ref="A5:R5"/>
    <mergeCell ref="A3:R3"/>
  </mergeCells>
  <pageMargins left="0.31496062992125984" right="0.31496062992125984" top="0.74803149606299213" bottom="0.74803149606299213" header="0.31496062992125984" footer="0.31496062992125984"/>
  <pageSetup paperSize="9" firstPageNumber="8" orientation="landscape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1"/>
  <sheetViews>
    <sheetView workbookViewId="0">
      <pane ySplit="6" topLeftCell="A7" activePane="bottomLeft" state="frozen"/>
      <selection pane="bottomLeft" activeCell="K7" sqref="K7"/>
    </sheetView>
  </sheetViews>
  <sheetFormatPr defaultRowHeight="14.4" x14ac:dyDescent="0.3"/>
  <cols>
    <col min="1" max="1" width="3.88671875" customWidth="1"/>
    <col min="2" max="2" width="23" customWidth="1"/>
    <col min="3" max="3" width="6.33203125" style="21" customWidth="1"/>
    <col min="4" max="4" width="10.109375" style="21" customWidth="1"/>
    <col min="5" max="5" width="26.44140625" customWidth="1"/>
    <col min="6" max="6" width="13.88671875" customWidth="1"/>
    <col min="7" max="7" width="13.5546875" bestFit="1" customWidth="1"/>
    <col min="8" max="9" width="14" customWidth="1"/>
    <col min="10" max="10" width="16.33203125" bestFit="1" customWidth="1"/>
  </cols>
  <sheetData>
    <row r="1" spans="1:9" x14ac:dyDescent="0.3">
      <c r="A1" s="585" t="s">
        <v>5</v>
      </c>
      <c r="B1" s="585"/>
      <c r="C1" s="585"/>
      <c r="D1" s="585"/>
      <c r="E1" s="585"/>
      <c r="F1" s="585"/>
      <c r="G1" s="585"/>
      <c r="H1" s="585"/>
      <c r="I1" s="585"/>
    </row>
    <row r="2" spans="1:9" x14ac:dyDescent="0.3">
      <c r="A2" s="585" t="s">
        <v>1157</v>
      </c>
      <c r="B2" s="575"/>
      <c r="C2" s="575"/>
      <c r="D2" s="575"/>
      <c r="E2" s="575"/>
      <c r="F2" s="575"/>
      <c r="G2" s="575"/>
      <c r="H2" s="575"/>
      <c r="I2" s="575"/>
    </row>
    <row r="3" spans="1:9" x14ac:dyDescent="0.3">
      <c r="A3" s="585" t="s">
        <v>335</v>
      </c>
      <c r="B3" s="585"/>
      <c r="C3" s="585"/>
      <c r="D3" s="585"/>
      <c r="E3" s="585"/>
      <c r="F3" s="585"/>
      <c r="G3" s="585"/>
      <c r="H3" s="585"/>
      <c r="I3" s="585"/>
    </row>
    <row r="4" spans="1:9" x14ac:dyDescent="0.3">
      <c r="A4" s="35"/>
      <c r="B4" s="30"/>
      <c r="C4" s="30"/>
      <c r="D4" s="30"/>
      <c r="E4" s="30"/>
      <c r="F4" s="30"/>
      <c r="G4" s="30"/>
      <c r="H4" s="35"/>
      <c r="I4" s="35"/>
    </row>
    <row r="5" spans="1:9" x14ac:dyDescent="0.3">
      <c r="A5" s="586" t="s">
        <v>215</v>
      </c>
      <c r="B5" s="586"/>
      <c r="C5" s="586"/>
      <c r="D5" s="586"/>
      <c r="E5" s="586"/>
      <c r="F5" s="586"/>
      <c r="G5" s="586"/>
      <c r="H5" s="586"/>
      <c r="I5" s="586"/>
    </row>
    <row r="6" spans="1:9" s="21" customFormat="1" ht="31.8" x14ac:dyDescent="0.3">
      <c r="A6" s="60" t="s">
        <v>0</v>
      </c>
      <c r="B6" s="60" t="s">
        <v>37</v>
      </c>
      <c r="C6" s="60" t="s">
        <v>2</v>
      </c>
      <c r="D6" s="53" t="s">
        <v>12</v>
      </c>
      <c r="E6" s="60" t="s">
        <v>17</v>
      </c>
      <c r="F6" s="53" t="s">
        <v>468</v>
      </c>
      <c r="G6" s="53" t="s">
        <v>1079</v>
      </c>
      <c r="H6" s="53" t="s">
        <v>469</v>
      </c>
      <c r="I6" s="53" t="s">
        <v>1158</v>
      </c>
    </row>
    <row r="7" spans="1:9" s="21" customFormat="1" ht="31.8" x14ac:dyDescent="0.3">
      <c r="A7" s="312">
        <v>1</v>
      </c>
      <c r="B7" s="236" t="s">
        <v>24</v>
      </c>
      <c r="C7" s="235"/>
      <c r="D7" s="159"/>
      <c r="E7" s="235"/>
      <c r="F7" s="159"/>
      <c r="G7" s="159"/>
      <c r="H7" s="159"/>
      <c r="I7" s="159"/>
    </row>
    <row r="8" spans="1:9" s="21" customFormat="1" ht="21" thickBot="1" x14ac:dyDescent="0.35">
      <c r="A8" s="235"/>
      <c r="B8" s="235"/>
      <c r="C8" s="235"/>
      <c r="D8" s="239">
        <v>22020311</v>
      </c>
      <c r="E8" s="129" t="s">
        <v>555</v>
      </c>
      <c r="F8" s="240">
        <f>159000000</f>
        <v>159000000</v>
      </c>
      <c r="G8" s="238">
        <v>0</v>
      </c>
      <c r="H8" s="237">
        <v>60000000</v>
      </c>
      <c r="I8" s="70">
        <f>F8-H8</f>
        <v>99000000</v>
      </c>
    </row>
    <row r="9" spans="1:9" s="21" customFormat="1" ht="32.4" thickBot="1" x14ac:dyDescent="0.35">
      <c r="A9" s="71"/>
      <c r="B9" s="39"/>
      <c r="C9" s="72"/>
      <c r="D9" s="69"/>
      <c r="E9" s="162" t="s">
        <v>543</v>
      </c>
      <c r="F9" s="243">
        <f t="shared" ref="F9:H9" si="0">SUM(F8)</f>
        <v>159000000</v>
      </c>
      <c r="G9" s="243">
        <f t="shared" si="0"/>
        <v>0</v>
      </c>
      <c r="H9" s="243">
        <f t="shared" si="0"/>
        <v>60000000</v>
      </c>
      <c r="I9" s="73">
        <f>SUM(I8)</f>
        <v>99000000</v>
      </c>
    </row>
    <row r="10" spans="1:9" s="21" customFormat="1" ht="6" customHeight="1" x14ac:dyDescent="0.3">
      <c r="A10" s="241"/>
      <c r="B10" s="241"/>
      <c r="C10" s="241"/>
      <c r="D10" s="242"/>
      <c r="E10" s="241"/>
      <c r="F10" s="242"/>
      <c r="G10" s="242"/>
      <c r="H10" s="242"/>
      <c r="I10" s="242"/>
    </row>
    <row r="11" spans="1:9" ht="25.5" customHeight="1" thickBot="1" x14ac:dyDescent="0.35">
      <c r="A11" s="62">
        <v>2</v>
      </c>
      <c r="B11" s="347" t="s">
        <v>34</v>
      </c>
      <c r="C11" s="348"/>
      <c r="D11" s="349">
        <v>22021062</v>
      </c>
      <c r="E11" s="350" t="s">
        <v>325</v>
      </c>
      <c r="F11" s="351">
        <v>100000000</v>
      </c>
      <c r="G11" s="351">
        <v>0</v>
      </c>
      <c r="H11" s="351">
        <v>80000000</v>
      </c>
      <c r="I11" s="198">
        <f>F11-H11</f>
        <v>20000000</v>
      </c>
    </row>
    <row r="12" spans="1:9" ht="19.5" customHeight="1" thickBot="1" x14ac:dyDescent="0.35">
      <c r="A12" s="71"/>
      <c r="B12" s="352"/>
      <c r="C12" s="353"/>
      <c r="D12" s="354"/>
      <c r="E12" s="355" t="s">
        <v>326</v>
      </c>
      <c r="F12" s="356">
        <f t="shared" ref="F12:H12" si="1">SUM(F11)</f>
        <v>100000000</v>
      </c>
      <c r="G12" s="356">
        <f t="shared" si="1"/>
        <v>0</v>
      </c>
      <c r="H12" s="356">
        <f t="shared" si="1"/>
        <v>80000000</v>
      </c>
      <c r="I12" s="357">
        <f>SUM(I11)</f>
        <v>20000000</v>
      </c>
    </row>
    <row r="13" spans="1:9" ht="6" customHeight="1" x14ac:dyDescent="0.3">
      <c r="A13" s="68"/>
      <c r="B13" s="358"/>
      <c r="C13" s="359"/>
      <c r="D13" s="360"/>
      <c r="E13" s="361"/>
      <c r="F13" s="362"/>
      <c r="G13" s="362"/>
      <c r="H13" s="362"/>
      <c r="I13" s="362"/>
    </row>
    <row r="14" spans="1:9" ht="21.6" x14ac:dyDescent="0.3">
      <c r="A14" s="61">
        <v>3</v>
      </c>
      <c r="B14" s="363" t="s">
        <v>49</v>
      </c>
      <c r="C14" s="364"/>
      <c r="D14" s="365">
        <v>22020401</v>
      </c>
      <c r="E14" s="366" t="s">
        <v>327</v>
      </c>
      <c r="F14" s="367">
        <v>73000000</v>
      </c>
      <c r="G14" s="368">
        <v>0</v>
      </c>
      <c r="H14" s="367">
        <v>40000000</v>
      </c>
      <c r="I14" s="198">
        <f>F14-H14</f>
        <v>33000000</v>
      </c>
    </row>
    <row r="15" spans="1:9" ht="15" thickBot="1" x14ac:dyDescent="0.35">
      <c r="A15" s="62"/>
      <c r="B15" s="369"/>
      <c r="C15" s="348"/>
      <c r="D15" s="370">
        <v>22021007</v>
      </c>
      <c r="E15" s="371" t="s">
        <v>328</v>
      </c>
      <c r="F15" s="351">
        <v>26500000</v>
      </c>
      <c r="G15" s="372">
        <v>0</v>
      </c>
      <c r="H15" s="351">
        <v>0</v>
      </c>
      <c r="I15" s="198">
        <f>F15-H15</f>
        <v>26500000</v>
      </c>
    </row>
    <row r="16" spans="1:9" ht="15" thickBot="1" x14ac:dyDescent="0.35">
      <c r="A16" s="71"/>
      <c r="B16" s="352"/>
      <c r="C16" s="353"/>
      <c r="D16" s="373"/>
      <c r="E16" s="352" t="s">
        <v>334</v>
      </c>
      <c r="F16" s="356">
        <f>SUM(F14:F15)</f>
        <v>99500000</v>
      </c>
      <c r="G16" s="356">
        <f t="shared" ref="G16:I16" si="2">SUM(G14:G15)</f>
        <v>0</v>
      </c>
      <c r="H16" s="356">
        <f t="shared" si="2"/>
        <v>40000000</v>
      </c>
      <c r="I16" s="357">
        <f t="shared" si="2"/>
        <v>59500000</v>
      </c>
    </row>
    <row r="17" spans="1:9" ht="6.75" customHeight="1" x14ac:dyDescent="0.3">
      <c r="A17" s="68"/>
      <c r="B17" s="358"/>
      <c r="C17" s="359"/>
      <c r="D17" s="374"/>
      <c r="E17" s="375"/>
      <c r="F17" s="376"/>
      <c r="G17" s="362"/>
      <c r="H17" s="376"/>
      <c r="I17" s="330"/>
    </row>
    <row r="18" spans="1:9" ht="22.2" thickBot="1" x14ac:dyDescent="0.35">
      <c r="A18" s="172">
        <v>4</v>
      </c>
      <c r="B18" s="377" t="s">
        <v>593</v>
      </c>
      <c r="C18" s="378"/>
      <c r="D18" s="379">
        <v>22020203</v>
      </c>
      <c r="E18" s="380" t="s">
        <v>329</v>
      </c>
      <c r="F18" s="381">
        <v>50000000</v>
      </c>
      <c r="G18" s="342">
        <v>13028075</v>
      </c>
      <c r="H18" s="381">
        <v>20000000</v>
      </c>
      <c r="I18" s="327">
        <f t="shared" ref="I18" si="3">F18-H18</f>
        <v>30000000</v>
      </c>
    </row>
    <row r="19" spans="1:9" ht="22.2" thickBot="1" x14ac:dyDescent="0.35">
      <c r="A19" s="71"/>
      <c r="B19" s="352"/>
      <c r="C19" s="353"/>
      <c r="D19" s="373"/>
      <c r="E19" s="352" t="s">
        <v>705</v>
      </c>
      <c r="F19" s="382">
        <f t="shared" ref="F19" si="4">SUM(F18)</f>
        <v>50000000</v>
      </c>
      <c r="G19" s="382">
        <f t="shared" ref="G19" si="5">SUM(G18)</f>
        <v>13028075</v>
      </c>
      <c r="H19" s="382">
        <f t="shared" ref="H19" si="6">SUM(H18)</f>
        <v>20000000</v>
      </c>
      <c r="I19" s="383">
        <f>SUM(I18)</f>
        <v>30000000</v>
      </c>
    </row>
    <row r="20" spans="1:9" ht="5.25" customHeight="1" x14ac:dyDescent="0.3">
      <c r="A20" s="68"/>
      <c r="B20" s="358"/>
      <c r="C20" s="359"/>
      <c r="D20" s="374"/>
      <c r="E20" s="375"/>
      <c r="F20" s="376"/>
      <c r="G20" s="362"/>
      <c r="H20" s="376"/>
      <c r="I20" s="330"/>
    </row>
    <row r="21" spans="1:9" ht="21.6" x14ac:dyDescent="0.3">
      <c r="A21" s="61">
        <v>5</v>
      </c>
      <c r="B21" s="363" t="s">
        <v>29</v>
      </c>
      <c r="C21" s="364"/>
      <c r="D21" s="425">
        <v>22020712</v>
      </c>
      <c r="E21" s="426" t="s">
        <v>330</v>
      </c>
      <c r="F21" s="367">
        <v>65000000</v>
      </c>
      <c r="G21" s="367">
        <v>1493000</v>
      </c>
      <c r="H21" s="367">
        <v>30000000</v>
      </c>
      <c r="I21" s="197">
        <f>F21-H21</f>
        <v>35000000</v>
      </c>
    </row>
    <row r="22" spans="1:9" ht="15" thickBot="1" x14ac:dyDescent="0.35">
      <c r="A22" s="62"/>
      <c r="B22" s="369"/>
      <c r="C22" s="348"/>
      <c r="D22" s="427">
        <v>22021041</v>
      </c>
      <c r="E22" s="122" t="s">
        <v>430</v>
      </c>
      <c r="F22" s="123">
        <v>300000000</v>
      </c>
      <c r="G22" s="351">
        <v>0</v>
      </c>
      <c r="H22" s="351">
        <v>300000000</v>
      </c>
      <c r="I22" s="198"/>
    </row>
    <row r="23" spans="1:9" ht="22.2" thickBot="1" x14ac:dyDescent="0.35">
      <c r="A23" s="71"/>
      <c r="B23" s="352"/>
      <c r="C23" s="353"/>
      <c r="D23" s="384"/>
      <c r="E23" s="352" t="s">
        <v>333</v>
      </c>
      <c r="F23" s="383">
        <f>SUM(F21:F22)</f>
        <v>365000000</v>
      </c>
      <c r="G23" s="383">
        <f>SUM(G21:G22)</f>
        <v>1493000</v>
      </c>
      <c r="H23" s="383">
        <f>SUM(H21:H22)</f>
        <v>330000000</v>
      </c>
      <c r="I23" s="383">
        <f>SUM(I21:I22)</f>
        <v>35000000</v>
      </c>
    </row>
    <row r="24" spans="1:9" ht="6" customHeight="1" x14ac:dyDescent="0.3">
      <c r="A24" s="68"/>
      <c r="B24" s="358"/>
      <c r="C24" s="359"/>
      <c r="D24" s="385"/>
      <c r="E24" s="358"/>
      <c r="F24" s="386"/>
      <c r="G24" s="386"/>
      <c r="H24" s="386"/>
      <c r="I24" s="386"/>
    </row>
    <row r="25" spans="1:9" ht="22.2" thickBot="1" x14ac:dyDescent="0.35">
      <c r="A25" s="172">
        <v>6</v>
      </c>
      <c r="B25" s="377" t="s">
        <v>50</v>
      </c>
      <c r="C25" s="378"/>
      <c r="D25" s="379">
        <v>22020601</v>
      </c>
      <c r="E25" s="380" t="s">
        <v>331</v>
      </c>
      <c r="F25" s="381">
        <v>64000000</v>
      </c>
      <c r="G25" s="381">
        <v>5000000</v>
      </c>
      <c r="H25" s="381">
        <v>30000000</v>
      </c>
      <c r="I25" s="327">
        <f t="shared" ref="I25" si="7">F25-H25</f>
        <v>34000000</v>
      </c>
    </row>
    <row r="26" spans="1:9" ht="22.2" thickBot="1" x14ac:dyDescent="0.35">
      <c r="A26" s="71"/>
      <c r="B26" s="352"/>
      <c r="C26" s="353"/>
      <c r="D26" s="384"/>
      <c r="E26" s="352" t="s">
        <v>332</v>
      </c>
      <c r="F26" s="382">
        <f t="shared" ref="F26" si="8">SUM(F25)</f>
        <v>64000000</v>
      </c>
      <c r="G26" s="382">
        <f t="shared" ref="G26" si="9">SUM(G25)</f>
        <v>5000000</v>
      </c>
      <c r="H26" s="382">
        <f t="shared" ref="H26" si="10">SUM(H25)</f>
        <v>30000000</v>
      </c>
      <c r="I26" s="383">
        <f t="shared" ref="I26" si="11">SUM(I25)</f>
        <v>34000000</v>
      </c>
    </row>
    <row r="27" spans="1:9" ht="5.25" customHeight="1" x14ac:dyDescent="0.3">
      <c r="A27" s="216"/>
      <c r="B27" s="173"/>
      <c r="C27" s="172"/>
      <c r="D27" s="179"/>
      <c r="E27" s="173"/>
      <c r="F27" s="217"/>
      <c r="G27" s="217"/>
      <c r="H27" s="217"/>
      <c r="I27" s="217"/>
    </row>
    <row r="28" spans="1:9" ht="21.6" x14ac:dyDescent="0.3">
      <c r="A28" s="61">
        <v>7</v>
      </c>
      <c r="B28" s="40" t="s">
        <v>28</v>
      </c>
      <c r="C28" s="61"/>
      <c r="D28" s="31"/>
      <c r="E28" s="40"/>
      <c r="F28" s="176"/>
      <c r="G28" s="176"/>
      <c r="H28" s="176"/>
      <c r="I28" s="176"/>
    </row>
    <row r="29" spans="1:9" x14ac:dyDescent="0.3">
      <c r="A29" s="61"/>
      <c r="B29" s="40"/>
      <c r="C29" s="61"/>
      <c r="D29" s="121">
        <v>22020405</v>
      </c>
      <c r="E29" s="122" t="s">
        <v>707</v>
      </c>
      <c r="F29" s="123">
        <v>70000000</v>
      </c>
      <c r="G29" s="70">
        <v>0</v>
      </c>
      <c r="H29" s="63">
        <v>35000000</v>
      </c>
      <c r="I29" s="63">
        <f t="shared" ref="I29:I30" si="12">F29-H29</f>
        <v>35000000</v>
      </c>
    </row>
    <row r="30" spans="1:9" ht="15" thickBot="1" x14ac:dyDescent="0.35">
      <c r="A30" s="62"/>
      <c r="B30" s="49"/>
      <c r="C30" s="62"/>
      <c r="D30" s="239">
        <v>22020410</v>
      </c>
      <c r="E30" s="129" t="s">
        <v>708</v>
      </c>
      <c r="F30" s="240">
        <v>30000000</v>
      </c>
      <c r="G30" s="70">
        <v>0</v>
      </c>
      <c r="H30" s="70">
        <v>25000000</v>
      </c>
      <c r="I30" s="70">
        <f t="shared" si="12"/>
        <v>5000000</v>
      </c>
    </row>
    <row r="31" spans="1:9" ht="22.2" thickBot="1" x14ac:dyDescent="0.35">
      <c r="A31" s="71"/>
      <c r="B31" s="39"/>
      <c r="C31" s="72"/>
      <c r="D31" s="178"/>
      <c r="E31" s="39" t="s">
        <v>366</v>
      </c>
      <c r="F31" s="65">
        <f t="shared" ref="F31:H31" si="13">SUM(F29:F30)</f>
        <v>100000000</v>
      </c>
      <c r="G31" s="65">
        <f t="shared" si="13"/>
        <v>0</v>
      </c>
      <c r="H31" s="65">
        <f t="shared" si="13"/>
        <v>60000000</v>
      </c>
      <c r="I31" s="174">
        <f>SUM(I29:I30)</f>
        <v>40000000</v>
      </c>
    </row>
    <row r="32" spans="1:9" ht="6" customHeight="1" x14ac:dyDescent="0.3">
      <c r="A32" s="68"/>
      <c r="B32" s="50"/>
      <c r="C32" s="68"/>
      <c r="D32" s="177"/>
      <c r="E32" s="428"/>
      <c r="F32" s="185"/>
      <c r="G32" s="185"/>
      <c r="H32" s="185"/>
      <c r="I32" s="185"/>
    </row>
    <row r="33" spans="1:10" x14ac:dyDescent="0.3">
      <c r="A33" s="61">
        <v>8</v>
      </c>
      <c r="B33" s="40" t="s">
        <v>26</v>
      </c>
      <c r="C33" s="61"/>
      <c r="D33" s="31"/>
      <c r="E33" s="389"/>
      <c r="F33" s="176"/>
      <c r="G33" s="176"/>
      <c r="H33" s="176"/>
      <c r="I33" s="176"/>
    </row>
    <row r="34" spans="1:10" ht="15" thickBot="1" x14ac:dyDescent="0.35">
      <c r="A34" s="62"/>
      <c r="B34" s="49"/>
      <c r="C34" s="62"/>
      <c r="D34" s="121">
        <v>22021041</v>
      </c>
      <c r="E34" s="122" t="s">
        <v>430</v>
      </c>
      <c r="F34" s="123">
        <v>950000000</v>
      </c>
      <c r="G34" s="390">
        <v>0</v>
      </c>
      <c r="H34" s="70">
        <v>950000000</v>
      </c>
      <c r="I34" s="390"/>
    </row>
    <row r="35" spans="1:10" ht="15" thickBot="1" x14ac:dyDescent="0.35">
      <c r="A35" s="71"/>
      <c r="B35" s="39"/>
      <c r="C35" s="72"/>
      <c r="D35" s="178"/>
      <c r="E35" s="39" t="s">
        <v>420</v>
      </c>
      <c r="F35" s="65">
        <f t="shared" ref="F35:G35" si="14">SUM(F34)</f>
        <v>950000000</v>
      </c>
      <c r="G35" s="65">
        <f t="shared" si="14"/>
        <v>0</v>
      </c>
      <c r="H35" s="65">
        <f>SUM(H34)</f>
        <v>950000000</v>
      </c>
      <c r="I35" s="174"/>
    </row>
    <row r="36" spans="1:10" ht="6.75" customHeight="1" x14ac:dyDescent="0.3">
      <c r="A36" s="68"/>
      <c r="B36" s="50"/>
      <c r="C36" s="68"/>
      <c r="D36" s="177"/>
      <c r="E36" s="50"/>
      <c r="F36" s="185"/>
      <c r="G36" s="185"/>
      <c r="H36" s="185"/>
      <c r="I36" s="185"/>
    </row>
    <row r="37" spans="1:10" x14ac:dyDescent="0.3">
      <c r="A37" s="61"/>
      <c r="B37" s="40" t="s">
        <v>14</v>
      </c>
      <c r="C37" s="61"/>
      <c r="D37" s="121">
        <v>22020104</v>
      </c>
      <c r="E37" s="122" t="s">
        <v>1063</v>
      </c>
      <c r="F37" s="63">
        <v>20000000</v>
      </c>
      <c r="G37" s="63"/>
      <c r="H37" s="63">
        <v>18000000</v>
      </c>
      <c r="I37" s="63">
        <f t="shared" ref="I37" si="15">F37-H37</f>
        <v>2000000</v>
      </c>
    </row>
    <row r="38" spans="1:10" ht="15" thickBot="1" x14ac:dyDescent="0.35">
      <c r="A38" s="62"/>
      <c r="B38" s="49"/>
      <c r="C38" s="62"/>
      <c r="D38" s="483"/>
      <c r="E38" s="49" t="s">
        <v>365</v>
      </c>
      <c r="F38" s="390">
        <f>SUM(F37)</f>
        <v>20000000</v>
      </c>
      <c r="G38" s="390">
        <f t="shared" ref="G38:I38" si="16">SUM(G37)</f>
        <v>0</v>
      </c>
      <c r="H38" s="390">
        <f t="shared" si="16"/>
        <v>18000000</v>
      </c>
      <c r="I38" s="390">
        <f t="shared" si="16"/>
        <v>2000000</v>
      </c>
      <c r="J38">
        <v>6467987000</v>
      </c>
    </row>
    <row r="39" spans="1:10" ht="17.25" customHeight="1" thickBot="1" x14ac:dyDescent="0.35">
      <c r="A39" s="484"/>
      <c r="B39" s="178"/>
      <c r="C39" s="178"/>
      <c r="D39" s="178"/>
      <c r="E39" s="485" t="s">
        <v>15</v>
      </c>
      <c r="F39" s="486">
        <f t="shared" ref="F39:G39" si="17">F26+F23+F19+F9+F31+F16+F12+F35+F38</f>
        <v>1907500000</v>
      </c>
      <c r="G39" s="486">
        <f t="shared" si="17"/>
        <v>19521075</v>
      </c>
      <c r="H39" s="486">
        <f>H26+H23+H19+H9+H31+H16+H12+H35+H38</f>
        <v>1588000000</v>
      </c>
      <c r="I39" s="487">
        <f>I26+I23+I19+I9+I31+I16+I12+I35+I38</f>
        <v>319500000</v>
      </c>
      <c r="J39" s="491">
        <f>J38-H39</f>
        <v>4879987000</v>
      </c>
    </row>
    <row r="41" spans="1:10" x14ac:dyDescent="0.3">
      <c r="H41" s="81"/>
    </row>
  </sheetData>
  <mergeCells count="4">
    <mergeCell ref="A1:I1"/>
    <mergeCell ref="A2:I2"/>
    <mergeCell ref="A3:I3"/>
    <mergeCell ref="A5:I5"/>
  </mergeCells>
  <conditionalFormatting sqref="D37:E37">
    <cfRule type="expression" dxfId="1270" priority="1">
      <formula>$K37=9</formula>
    </cfRule>
    <cfRule type="expression" dxfId="1269" priority="2">
      <formula>$K37=7</formula>
    </cfRule>
    <cfRule type="expression" dxfId="1268" priority="3">
      <formula>$K37=6</formula>
    </cfRule>
    <cfRule type="expression" dxfId="1267" priority="4">
      <formula>$K37=5</formula>
    </cfRule>
    <cfRule type="expression" dxfId="1266" priority="5">
      <formula>$K37=4</formula>
    </cfRule>
    <cfRule type="expression" dxfId="1265" priority="6">
      <formula>$K37=3</formula>
    </cfRule>
    <cfRule type="expression" dxfId="1264" priority="7">
      <formula>$K37=2</formula>
    </cfRule>
    <cfRule type="expression" dxfId="1263" priority="8">
      <formula>$K37=1</formula>
    </cfRule>
  </conditionalFormatting>
  <conditionalFormatting sqref="D8:F8">
    <cfRule type="expression" dxfId="1262" priority="57">
      <formula>$K8=9</formula>
    </cfRule>
    <cfRule type="expression" dxfId="1261" priority="58">
      <formula>$K8=7</formula>
    </cfRule>
    <cfRule type="expression" dxfId="1260" priority="59">
      <formula>$K8=6</formula>
    </cfRule>
    <cfRule type="expression" dxfId="1259" priority="60">
      <formula>$K8=5</formula>
    </cfRule>
    <cfRule type="expression" dxfId="1258" priority="61">
      <formula>$K8=4</formula>
    </cfRule>
    <cfRule type="expression" dxfId="1257" priority="62">
      <formula>$K8=3</formula>
    </cfRule>
    <cfRule type="expression" dxfId="1256" priority="63">
      <formula>$K8=2</formula>
    </cfRule>
    <cfRule type="expression" dxfId="1255" priority="64">
      <formula>$K8=1</formula>
    </cfRule>
  </conditionalFormatting>
  <conditionalFormatting sqref="D22:F22">
    <cfRule type="expression" dxfId="1254" priority="17">
      <formula>#REF!=9</formula>
    </cfRule>
    <cfRule type="expression" dxfId="1253" priority="18">
      <formula>#REF!=7</formula>
    </cfRule>
    <cfRule type="expression" dxfId="1252" priority="19">
      <formula>#REF!=6</formula>
    </cfRule>
    <cfRule type="expression" dxfId="1251" priority="20">
      <formula>#REF!=5</formula>
    </cfRule>
    <cfRule type="expression" dxfId="1250" priority="21">
      <formula>#REF!=4</formula>
    </cfRule>
    <cfRule type="expression" dxfId="1249" priority="22">
      <formula>#REF!=3</formula>
    </cfRule>
    <cfRule type="expression" dxfId="1248" priority="23">
      <formula>#REF!=2</formula>
    </cfRule>
    <cfRule type="expression" dxfId="1247" priority="24">
      <formula>#REF!=1</formula>
    </cfRule>
  </conditionalFormatting>
  <conditionalFormatting sqref="D29:F30">
    <cfRule type="expression" dxfId="1246" priority="41">
      <formula>$K29=9</formula>
    </cfRule>
    <cfRule type="expression" dxfId="1245" priority="42">
      <formula>$K29=7</formula>
    </cfRule>
    <cfRule type="expression" dxfId="1244" priority="43">
      <formula>$K29=6</formula>
    </cfRule>
    <cfRule type="expression" dxfId="1243" priority="44">
      <formula>$K29=5</formula>
    </cfRule>
    <cfRule type="expression" dxfId="1242" priority="45">
      <formula>$K29=4</formula>
    </cfRule>
    <cfRule type="expression" dxfId="1241" priority="46">
      <formula>$K29=3</formula>
    </cfRule>
    <cfRule type="expression" dxfId="1240" priority="47">
      <formula>$K29=2</formula>
    </cfRule>
    <cfRule type="expression" dxfId="1239" priority="48">
      <formula>$K29=1</formula>
    </cfRule>
  </conditionalFormatting>
  <conditionalFormatting sqref="D34:F34">
    <cfRule type="expression" dxfId="1238" priority="9">
      <formula>$K769=9</formula>
    </cfRule>
    <cfRule type="expression" dxfId="1237" priority="10">
      <formula>$K769=7</formula>
    </cfRule>
    <cfRule type="expression" dxfId="1236" priority="11">
      <formula>$K769=6</formula>
    </cfRule>
    <cfRule type="expression" dxfId="1235" priority="12">
      <formula>$K769=5</formula>
    </cfRule>
    <cfRule type="expression" dxfId="1234" priority="13">
      <formula>$K769=4</formula>
    </cfRule>
    <cfRule type="expression" dxfId="1233" priority="14">
      <formula>$K769=3</formula>
    </cfRule>
    <cfRule type="expression" dxfId="1232" priority="15">
      <formula>$K769=2</formula>
    </cfRule>
    <cfRule type="expression" dxfId="1231" priority="16">
      <formula>$K769=1</formula>
    </cfRule>
  </conditionalFormatting>
  <pageMargins left="0.70866141732283472" right="0.11811023622047245" top="0.74803149606299213" bottom="0.74803149606299213" header="0.31496062992125984" footer="0.31496062992125984"/>
  <pageSetup firstPageNumber="11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7</vt:i4>
      </vt:variant>
    </vt:vector>
  </HeadingPairs>
  <TitlesOfParts>
    <vt:vector size="21" baseType="lpstr">
      <vt:lpstr>Revenue Summary</vt:lpstr>
      <vt:lpstr>Revenue Grants</vt:lpstr>
      <vt:lpstr>Overall summary R&amp;C</vt:lpstr>
      <vt:lpstr>summary of recurent allocation</vt:lpstr>
      <vt:lpstr>Summary of capital allocation</vt:lpstr>
      <vt:lpstr>Pooled Fund Personnel</vt:lpstr>
      <vt:lpstr>Social Contributions</vt:lpstr>
      <vt:lpstr>Personnel Detail</vt:lpstr>
      <vt:lpstr>Pooled Fund OH Cost</vt:lpstr>
      <vt:lpstr>Details OH Cost</vt:lpstr>
      <vt:lpstr>Pooled Fund detail Capital</vt:lpstr>
      <vt:lpstr>Project detail capital</vt:lpstr>
      <vt:lpstr>First Schedule</vt:lpstr>
      <vt:lpstr>Second Schedule</vt:lpstr>
      <vt:lpstr>'First Schedule'!Print_Titles</vt:lpstr>
      <vt:lpstr>'Personnel Detail'!Print_Titles</vt:lpstr>
      <vt:lpstr>'Pooled Fund detail Capital'!Print_Titles</vt:lpstr>
      <vt:lpstr>'Pooled Fund OH Cost'!Print_Titles</vt:lpstr>
      <vt:lpstr>'Project detail capital'!Print_Titles</vt:lpstr>
      <vt:lpstr>'Second Schedule'!Print_Titles</vt:lpstr>
      <vt:lpstr>'summary of recurent allocation'!Print_Titles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Emmanuel Abiodun</cp:lastModifiedBy>
  <cp:lastPrinted>2024-11-21T11:04:54Z</cp:lastPrinted>
  <dcterms:created xsi:type="dcterms:W3CDTF">2011-10-12T15:22:11Z</dcterms:created>
  <dcterms:modified xsi:type="dcterms:W3CDTF">2024-11-21T11:06:22Z</dcterms:modified>
</cp:coreProperties>
</file>